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6.xml" ContentType="application/vnd.openxmlformats-officedocument.spreadsheetml.tab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R:\B\B4\04-04 SVT, VKT, Betriebsdienst\05_Rastanlagen\03_Fachthemen\B4-24-111_WU-Tool Rastanlagen\2026_Zusammenstellung neues WU-Tool\"/>
    </mc:Choice>
  </mc:AlternateContent>
  <xr:revisionPtr revIDLastSave="0" documentId="13_ncr:1_{35C8E860-82E4-4C75-9809-FD08FAEF7F90}" xr6:coauthVersionLast="36" xr6:coauthVersionMax="36" xr10:uidLastSave="{00000000-0000-0000-0000-000000000000}"/>
  <bookViews>
    <workbookView xWindow="0" yWindow="0" windowWidth="23040" windowHeight="10740" tabRatio="845" xr2:uid="{00000000-000D-0000-FFFF-FFFF00000000}"/>
  </bookViews>
  <sheets>
    <sheet name="Quickstart" sheetId="19" r:id="rId1"/>
    <sheet name="Informationsbereitstellung" sheetId="17" r:id="rId2"/>
    <sheet name="Projekt-Infos" sheetId="21" r:id="rId3"/>
    <sheet name="Standortkonzept" sheetId="12" r:id="rId4"/>
    <sheet name="Betriebskosten" sheetId="14" r:id="rId5"/>
    <sheet name="Parameter" sheetId="10" state="veryHidden" r:id="rId6"/>
    <sheet name="weitere Nutzen RWS" sheetId="15" state="veryHidden" r:id="rId7"/>
    <sheet name="Formeln" sheetId="20" state="veryHidden" r:id="rId8"/>
  </sheets>
  <definedNames>
    <definedName name="_҉_Link_Betriebskosten">#REF!</definedName>
    <definedName name="Diff_NKV">Standortkonzept!$H$109:$H$120</definedName>
    <definedName name="_xlnm.Print_Area" localSheetId="1">Informationsbereitstellung!$A$1:$M$44</definedName>
    <definedName name="_xlnm.Print_Area" localSheetId="0">Quickstart!$A$1:$B$92</definedName>
    <definedName name="_xlnm.Print_Area" localSheetId="6">'weitere Nutzen RWS'!$E:$V</definedName>
    <definedName name="_xlnm.Print_Titles" localSheetId="1">Informationsbereitstellung!$A:$B,Informationsbereitstellung!$8:$8</definedName>
    <definedName name="Kompaktparken">Tabelle6[[#Headers],[Faktor monetärer Nutzen bei telematischem Parken]]</definedName>
    <definedName name="Nummer">Standortkonzept!#REF!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2" l="1"/>
  <c r="G4" i="15" l="1"/>
  <c r="H4" i="15"/>
  <c r="G5" i="15"/>
  <c r="H5" i="15"/>
  <c r="I79" i="12" l="1"/>
  <c r="H79" i="12"/>
  <c r="E91" i="20" l="1"/>
  <c r="E92" i="20"/>
  <c r="E93" i="20"/>
  <c r="E94" i="20"/>
  <c r="E90" i="20"/>
  <c r="G15" i="12" l="1"/>
  <c r="G14" i="12"/>
  <c r="G13" i="12"/>
  <c r="G79" i="12" l="1"/>
  <c r="G81" i="12" l="1"/>
  <c r="C12" i="15" l="1"/>
  <c r="C9" i="15"/>
  <c r="G9" i="15" l="1"/>
  <c r="H9" i="15"/>
  <c r="D9" i="15"/>
  <c r="F9" i="15"/>
  <c r="E9" i="15"/>
  <c r="D26" i="12"/>
  <c r="G26" i="12"/>
  <c r="G76" i="12" s="1"/>
  <c r="H26" i="12"/>
  <c r="I26" i="12"/>
  <c r="J26" i="12"/>
  <c r="K26" i="12"/>
  <c r="L26" i="12"/>
  <c r="H13" i="15" l="1"/>
  <c r="G13" i="15"/>
  <c r="H62" i="12"/>
  <c r="I62" i="12"/>
  <c r="L28" i="14" l="1"/>
  <c r="I28" i="14"/>
  <c r="F28" i="14"/>
  <c r="C28" i="14"/>
  <c r="G49" i="12" l="1"/>
  <c r="I72" i="12" l="1"/>
  <c r="H72" i="12"/>
  <c r="G72" i="12"/>
  <c r="I69" i="12"/>
  <c r="H69" i="12"/>
  <c r="G69" i="12"/>
  <c r="G70" i="12" l="1"/>
  <c r="R4" i="10"/>
  <c r="J78" i="10" l="1"/>
  <c r="K78" i="10" s="1"/>
  <c r="I81" i="12" l="1"/>
  <c r="H81" i="12"/>
  <c r="I73" i="12"/>
  <c r="H73" i="12"/>
  <c r="I70" i="12"/>
  <c r="H70" i="12"/>
  <c r="J123" i="10" l="1"/>
  <c r="J124" i="10"/>
  <c r="J125" i="10"/>
  <c r="I123" i="10"/>
  <c r="I124" i="10"/>
  <c r="I125" i="10"/>
  <c r="I126" i="10"/>
  <c r="J126" i="10" s="1"/>
  <c r="I127" i="10"/>
  <c r="J127" i="10" s="1"/>
  <c r="I128" i="10"/>
  <c r="J128" i="10" s="1"/>
  <c r="I129" i="10"/>
  <c r="J129" i="10" s="1"/>
  <c r="I130" i="10"/>
  <c r="J130" i="10" s="1"/>
  <c r="I131" i="10"/>
  <c r="J131" i="10" s="1"/>
  <c r="H63" i="12" l="1"/>
  <c r="I63" i="12"/>
  <c r="G63" i="12"/>
  <c r="G73" i="12"/>
  <c r="I71" i="12" l="1"/>
  <c r="I74" i="12"/>
  <c r="H71" i="12"/>
  <c r="H74" i="12"/>
  <c r="K16" i="10" l="1"/>
  <c r="K17" i="10"/>
  <c r="K18" i="10"/>
  <c r="L17" i="10"/>
  <c r="L18"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3" i="10"/>
  <c r="B82" i="10"/>
  <c r="B81" i="10"/>
  <c r="B80" i="10"/>
  <c r="B79" i="10"/>
  <c r="B78" i="10"/>
  <c r="B77" i="10"/>
  <c r="L76" i="10"/>
  <c r="B76" i="10"/>
  <c r="L75" i="10"/>
  <c r="B75" i="10"/>
  <c r="L74" i="10"/>
  <c r="B74" i="10"/>
  <c r="L73"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15" i="10"/>
  <c r="B14" i="10"/>
  <c r="B13" i="10"/>
  <c r="B12" i="10"/>
  <c r="B11" i="10"/>
  <c r="B10" i="10"/>
  <c r="B9" i="10"/>
  <c r="B8" i="10"/>
  <c r="B7" i="10"/>
  <c r="B6" i="10"/>
  <c r="B5" i="10"/>
  <c r="F69" i="10" l="1"/>
  <c r="P69" i="10"/>
  <c r="J55" i="10"/>
  <c r="L78" i="10"/>
  <c r="K14" i="10"/>
  <c r="J14" i="10"/>
  <c r="J61" i="10"/>
  <c r="J69" i="10"/>
  <c r="G83" i="12" s="1"/>
  <c r="N74" i="10"/>
  <c r="L14" i="10"/>
  <c r="J33" i="10"/>
  <c r="J29" i="10"/>
  <c r="J38" i="10"/>
  <c r="N76" i="10"/>
  <c r="J52" i="10"/>
  <c r="J64" i="10"/>
  <c r="J41" i="10"/>
  <c r="J46" i="10"/>
  <c r="N73" i="10"/>
  <c r="J58" i="10"/>
  <c r="N75" i="10"/>
  <c r="J49" i="10"/>
  <c r="K73" i="10"/>
  <c r="N77" i="10"/>
  <c r="I66" i="12" l="1"/>
  <c r="I67" i="12" s="1"/>
  <c r="I68" i="12" s="1"/>
  <c r="I91" i="12" s="1"/>
  <c r="H66" i="12"/>
  <c r="H67" i="12" s="1"/>
  <c r="H68" i="12" s="1"/>
  <c r="H91" i="12" s="1"/>
  <c r="G66" i="12"/>
  <c r="G67" i="12" s="1"/>
  <c r="G68" i="12" s="1"/>
  <c r="K74" i="10"/>
  <c r="I83" i="12"/>
  <c r="H83" i="12"/>
  <c r="G74" i="12"/>
  <c r="G71" i="12"/>
  <c r="G91" i="12" l="1"/>
  <c r="I98" i="12"/>
  <c r="H96" i="12"/>
  <c r="H97" i="12"/>
  <c r="I96" i="12"/>
  <c r="I97" i="12"/>
  <c r="H98" i="12"/>
  <c r="K75" i="10"/>
  <c r="G97" i="12" l="1"/>
  <c r="G98" i="12"/>
  <c r="G96" i="12"/>
  <c r="K76" i="10"/>
  <c r="U28" i="14" l="1"/>
  <c r="R28" i="14"/>
  <c r="O28" i="14"/>
  <c r="G62" i="12" l="1"/>
  <c r="I9" i="15" l="1"/>
  <c r="H49" i="12" l="1"/>
  <c r="F5" i="15" l="1"/>
  <c r="D5" i="15"/>
  <c r="E5" i="15"/>
  <c r="I5" i="15"/>
  <c r="I49" i="12"/>
  <c r="I76" i="12"/>
  <c r="I89" i="12"/>
  <c r="H76" i="12"/>
  <c r="H89" i="12"/>
  <c r="G89" i="12"/>
  <c r="I4" i="15"/>
  <c r="F4" i="15"/>
  <c r="E4" i="15"/>
  <c r="D4" i="15"/>
  <c r="U5" i="14"/>
  <c r="U6" i="14" s="1"/>
  <c r="L5" i="14"/>
  <c r="L6" i="14" s="1"/>
  <c r="O5" i="14"/>
  <c r="O6" i="14" s="1"/>
  <c r="I5" i="14"/>
  <c r="I6" i="14" s="1"/>
  <c r="F5" i="14"/>
  <c r="F6" i="14" s="1"/>
  <c r="R5" i="14"/>
  <c r="R6" i="14" s="1"/>
  <c r="C5" i="14"/>
  <c r="C6" i="14" s="1"/>
  <c r="D17" i="14" l="1"/>
  <c r="D19" i="14"/>
  <c r="G19" i="14"/>
  <c r="G17" i="14"/>
  <c r="M19" i="14"/>
  <c r="M17" i="14"/>
  <c r="J17" i="14"/>
  <c r="J19" i="14"/>
  <c r="L19" i="14"/>
  <c r="I19" i="14"/>
  <c r="F19" i="14"/>
  <c r="C23" i="14"/>
  <c r="C17" i="14"/>
  <c r="C19" i="14"/>
  <c r="S17" i="14"/>
  <c r="R19" i="14"/>
  <c r="R17" i="14"/>
  <c r="I32" i="14"/>
  <c r="J32" i="14" s="1"/>
  <c r="I17" i="14"/>
  <c r="P17" i="14"/>
  <c r="O17" i="14"/>
  <c r="O19" i="14"/>
  <c r="F17" i="14"/>
  <c r="F32" i="14"/>
  <c r="G32" i="14" s="1"/>
  <c r="V17" i="14"/>
  <c r="U17" i="14"/>
  <c r="U19" i="14"/>
  <c r="L32" i="14"/>
  <c r="M32" i="14" s="1"/>
  <c r="L17" i="14"/>
  <c r="C32" i="14"/>
  <c r="D32" i="14" s="1"/>
  <c r="S9" i="14"/>
  <c r="R13" i="14"/>
  <c r="S23" i="14"/>
  <c r="R23" i="14"/>
  <c r="R9" i="14"/>
  <c r="F23" i="14"/>
  <c r="F13" i="14"/>
  <c r="G9" i="14"/>
  <c r="G23" i="14"/>
  <c r="G13" i="14"/>
  <c r="I23" i="14"/>
  <c r="I9" i="14"/>
  <c r="J9" i="14"/>
  <c r="J23" i="14"/>
  <c r="I13" i="14"/>
  <c r="O9" i="14"/>
  <c r="P9" i="14"/>
  <c r="P23" i="14"/>
  <c r="O13" i="14"/>
  <c r="O23" i="14"/>
  <c r="L23" i="14"/>
  <c r="L9" i="14"/>
  <c r="M23" i="14"/>
  <c r="L13" i="14"/>
  <c r="M9" i="14"/>
  <c r="V9" i="14"/>
  <c r="U13" i="14"/>
  <c r="V23" i="14"/>
  <c r="U23" i="14"/>
  <c r="U9" i="14"/>
  <c r="D23" i="14"/>
  <c r="E20" i="14"/>
  <c r="D9" i="14"/>
  <c r="C9" i="14"/>
  <c r="F9" i="14"/>
  <c r="C13" i="14"/>
  <c r="E10" i="14"/>
  <c r="V13" i="14"/>
  <c r="S13" i="14"/>
  <c r="J13" i="14"/>
  <c r="P13" i="14"/>
  <c r="M13" i="14"/>
  <c r="D13" i="14"/>
  <c r="E24" i="14"/>
  <c r="E18" i="14"/>
  <c r="E14" i="14"/>
  <c r="H20" i="14"/>
  <c r="H18" i="14"/>
  <c r="H10" i="14"/>
  <c r="H14" i="14"/>
  <c r="H24" i="14"/>
  <c r="N24" i="14"/>
  <c r="N20" i="14"/>
  <c r="N18" i="14"/>
  <c r="N14" i="14"/>
  <c r="N10" i="14"/>
  <c r="K20" i="14"/>
  <c r="K18" i="14"/>
  <c r="K10" i="14"/>
  <c r="K24" i="14"/>
  <c r="K14" i="14"/>
  <c r="Q14" i="14"/>
  <c r="Q24" i="14"/>
  <c r="Q20" i="14"/>
  <c r="Q10" i="14"/>
  <c r="Q18" i="14"/>
  <c r="T20" i="14"/>
  <c r="T14" i="14"/>
  <c r="T10" i="14"/>
  <c r="T18" i="14"/>
  <c r="T24" i="14"/>
  <c r="W24" i="14"/>
  <c r="W18" i="14"/>
  <c r="W10" i="14"/>
  <c r="W14" i="14"/>
  <c r="W20" i="14"/>
  <c r="E32" i="14" l="1"/>
  <c r="E23" i="14"/>
  <c r="E13" i="15"/>
  <c r="F13" i="15"/>
  <c r="I13" i="15"/>
  <c r="D13" i="15"/>
  <c r="F41" i="12"/>
  <c r="H32" i="14" l="1"/>
  <c r="H23" i="14"/>
  <c r="K9" i="14"/>
  <c r="I34" i="14"/>
  <c r="Q13" i="14"/>
  <c r="L34" i="14"/>
  <c r="R34" i="14"/>
  <c r="H13" i="14"/>
  <c r="O34" i="14"/>
  <c r="N9" i="14"/>
  <c r="W17" i="14"/>
  <c r="U34" i="14"/>
  <c r="Q9" i="14"/>
  <c r="F34" i="14"/>
  <c r="K32" i="14"/>
  <c r="C41" i="12"/>
  <c r="W23" i="14"/>
  <c r="N13" i="14"/>
  <c r="W19" i="14"/>
  <c r="W32" i="14"/>
  <c r="T9" i="14"/>
  <c r="T17" i="14"/>
  <c r="T19" i="14"/>
  <c r="T13" i="14"/>
  <c r="K23" i="14"/>
  <c r="C34" i="14"/>
  <c r="N23" i="14"/>
  <c r="E13" i="14"/>
  <c r="W13" i="14"/>
  <c r="Q23" i="14"/>
  <c r="N32" i="14"/>
  <c r="W9" i="14"/>
  <c r="E9" i="14"/>
  <c r="T23" i="14"/>
  <c r="H9" i="14"/>
  <c r="K13" i="14"/>
  <c r="H19" i="14" l="1"/>
  <c r="E19" i="14"/>
  <c r="K17" i="14"/>
  <c r="N17" i="14"/>
  <c r="K19" i="14"/>
  <c r="Q17" i="14"/>
  <c r="N19" i="14"/>
  <c r="E17" i="14"/>
  <c r="Q19" i="14"/>
  <c r="H17" i="14"/>
  <c r="U35" i="14"/>
  <c r="R35" i="14"/>
  <c r="O35" i="14" l="1"/>
  <c r="L35" i="14"/>
  <c r="I85" i="12" s="1"/>
  <c r="I35" i="14"/>
  <c r="H85" i="12" s="1"/>
  <c r="C35" i="14"/>
  <c r="G85" i="12" s="1"/>
  <c r="F35" i="14"/>
  <c r="I99" i="12" l="1"/>
  <c r="H99" i="12"/>
  <c r="G99" i="12"/>
  <c r="C8" i="15" l="1"/>
  <c r="H14" i="15" l="1"/>
  <c r="H15" i="15" s="1"/>
  <c r="H22" i="15" s="1"/>
  <c r="H23" i="15" s="1"/>
  <c r="H24" i="15" s="1"/>
  <c r="G14" i="15"/>
  <c r="G15" i="15" s="1"/>
  <c r="G22" i="15" s="1"/>
  <c r="G23" i="15" s="1"/>
  <c r="G24" i="15" s="1"/>
  <c r="G12" i="15"/>
  <c r="H12" i="15"/>
  <c r="H18" i="15"/>
  <c r="I14" i="15"/>
  <c r="I15" i="15" s="1"/>
  <c r="I18" i="15" s="1"/>
  <c r="F14" i="15"/>
  <c r="F15" i="15" s="1"/>
  <c r="F22" i="15" s="1"/>
  <c r="F23" i="15" s="1"/>
  <c r="F24" i="15" s="1"/>
  <c r="I12" i="15"/>
  <c r="D14" i="15"/>
  <c r="D15" i="15" s="1"/>
  <c r="C14" i="15"/>
  <c r="C15" i="15" s="1"/>
  <c r="E12" i="15"/>
  <c r="F12" i="15"/>
  <c r="E14" i="15"/>
  <c r="E15" i="15" s="1"/>
  <c r="E22" i="15" s="1"/>
  <c r="E23" i="15" s="1"/>
  <c r="E24" i="15" s="1"/>
  <c r="D12" i="15"/>
  <c r="G18" i="15" l="1"/>
  <c r="G28" i="15" s="1"/>
  <c r="H27" i="15"/>
  <c r="H25" i="15"/>
  <c r="H28" i="15"/>
  <c r="H26" i="15"/>
  <c r="G27" i="15"/>
  <c r="G26" i="15"/>
  <c r="G25" i="15"/>
  <c r="I22" i="15"/>
  <c r="I23" i="15" s="1"/>
  <c r="I24" i="15" s="1"/>
  <c r="F18" i="15"/>
  <c r="F25" i="15" s="1"/>
  <c r="C22" i="15"/>
  <c r="C23" i="15" s="1"/>
  <c r="C24" i="15" s="1"/>
  <c r="C18" i="15"/>
  <c r="D18" i="15"/>
  <c r="D22" i="15"/>
  <c r="D23" i="15" s="1"/>
  <c r="D24" i="15" s="1"/>
  <c r="I28" i="15"/>
  <c r="I27" i="15"/>
  <c r="I26" i="15"/>
  <c r="I25" i="15"/>
  <c r="E18" i="15"/>
  <c r="G29" i="15" l="1"/>
  <c r="H29" i="15"/>
  <c r="H19" i="15"/>
  <c r="G19" i="15"/>
  <c r="F26" i="15"/>
  <c r="F27" i="15"/>
  <c r="F28" i="15"/>
  <c r="I29" i="15"/>
  <c r="D26" i="15"/>
  <c r="D27" i="15"/>
  <c r="D28" i="15"/>
  <c r="D25" i="15"/>
  <c r="E27" i="15"/>
  <c r="E28" i="15"/>
  <c r="E25" i="15"/>
  <c r="E26" i="15"/>
  <c r="C25" i="15"/>
  <c r="C26" i="15"/>
  <c r="F19" i="15"/>
  <c r="E19" i="15"/>
  <c r="I19" i="15"/>
  <c r="C28" i="15"/>
  <c r="C27" i="15"/>
  <c r="D19" i="15"/>
  <c r="F29" i="15" l="1"/>
  <c r="D29" i="15"/>
  <c r="C29" i="15"/>
  <c r="E29" i="15"/>
  <c r="H30" i="15" l="1"/>
  <c r="H31" i="15" s="1"/>
  <c r="G30" i="15"/>
  <c r="G31" i="15" s="1"/>
  <c r="E30" i="15"/>
  <c r="H87" i="12" s="1"/>
  <c r="H93" i="12" s="1"/>
  <c r="F30" i="15"/>
  <c r="I87" i="12" s="1"/>
  <c r="I93" i="12" s="1"/>
  <c r="D30" i="15"/>
  <c r="I30" i="15"/>
  <c r="I31" i="15" s="1"/>
  <c r="I101" i="12" l="1"/>
  <c r="H101" i="12"/>
  <c r="H100" i="12"/>
  <c r="I100" i="12"/>
  <c r="D31" i="15"/>
  <c r="G87" i="12"/>
  <c r="G93" i="12" s="1"/>
  <c r="E31" i="15"/>
  <c r="F31" i="15"/>
  <c r="I103" i="12" l="1"/>
  <c r="H95" i="12"/>
  <c r="G100" i="12"/>
  <c r="I95" i="12"/>
  <c r="G101" i="12" l="1"/>
  <c r="H103" i="12"/>
  <c r="J103" i="12" s="1"/>
  <c r="G95" i="12"/>
  <c r="F101" i="12" l="1"/>
  <c r="J101" i="12"/>
  <c r="F103" i="12"/>
  <c r="G105"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Denis Löbbering</author>
    <author>Mayer Jörg</author>
  </authors>
  <commentList>
    <comment ref="A4" authorId="0" shapeId="0" xr:uid="{00000000-0006-0000-0800-000002000000}">
      <text>
        <r>
          <rPr>
            <b/>
            <sz val="9"/>
            <color indexed="81"/>
            <rFont val="Segoe UI"/>
            <family val="2"/>
          </rPr>
          <t>Programmierer-Info: "X" eintragen, wenn in der Zeile ein Parameter steht!</t>
        </r>
      </text>
    </comment>
    <comment ref="B4" authorId="0" shapeId="0" xr:uid="{00000000-0006-0000-0800-000003000000}">
      <text>
        <r>
          <rPr>
            <b/>
            <sz val="9"/>
            <color indexed="81"/>
            <rFont val="Segoe UI"/>
            <family val="2"/>
          </rPr>
          <t>Parameter-Nummer zur Kommunikation</t>
        </r>
      </text>
    </comment>
    <comment ref="S5" authorId="0" shapeId="0" xr:uid="{00000000-0006-0000-0800-000004000000}">
      <text>
        <r>
          <rPr>
            <b/>
            <sz val="9"/>
            <color indexed="81"/>
            <rFont val="Segoe UI"/>
            <family val="2"/>
          </rPr>
          <t>Baupreisindex Straßenbau (Bauleistungen am Bauwerk (Tiefbau)
Jahresdurchschnitte (2021 = 100)
Quelle: https://www-genesis.destatis.de/datenbank/online/</t>
        </r>
      </text>
    </comment>
    <comment ref="H83" authorId="1" shapeId="0" xr:uid="{4F24DB80-9559-4F4C-A069-605F0BFB42F9}">
      <text>
        <r>
          <rPr>
            <b/>
            <sz val="9"/>
            <color indexed="81"/>
            <rFont val="Segoe UI"/>
            <family val="2"/>
          </rPr>
          <t>Mayer Jörg:</t>
        </r>
        <r>
          <rPr>
            <sz val="9"/>
            <color indexed="81"/>
            <rFont val="Segoe UI"/>
            <family val="2"/>
          </rPr>
          <t xml:space="preserve">
"0"</t>
        </r>
      </text>
    </comment>
    <comment ref="I83" authorId="1" shapeId="0" xr:uid="{7ED6349F-EFE3-4917-9D80-6BBEE1CEEFAD}">
      <text>
        <r>
          <rPr>
            <b/>
            <sz val="9"/>
            <color indexed="81"/>
            <rFont val="Segoe UI"/>
            <family val="2"/>
          </rPr>
          <t>Mayer Jörg:</t>
        </r>
        <r>
          <rPr>
            <sz val="9"/>
            <color indexed="81"/>
            <rFont val="Segoe UI"/>
            <family val="2"/>
          </rPr>
          <t xml:space="preserve">
"0"</t>
        </r>
      </text>
    </comment>
    <comment ref="J83" authorId="1" shapeId="0" xr:uid="{562A9222-095E-41B4-90D5-8CDBE62CD2E1}">
      <text>
        <r>
          <rPr>
            <b/>
            <sz val="9"/>
            <color indexed="81"/>
            <rFont val="Segoe UI"/>
            <family val="2"/>
          </rPr>
          <t>Mayer Jörg:</t>
        </r>
        <r>
          <rPr>
            <sz val="9"/>
            <color indexed="81"/>
            <rFont val="Segoe UI"/>
            <family val="2"/>
          </rPr>
          <t xml:space="preserve">
"0"</t>
        </r>
      </text>
    </comment>
    <comment ref="K83" authorId="1" shapeId="0" xr:uid="{CC119F50-32EB-4722-A38F-88A9681C8A11}">
      <text>
        <r>
          <rPr>
            <b/>
            <sz val="9"/>
            <color indexed="81"/>
            <rFont val="Segoe UI"/>
            <family val="2"/>
          </rPr>
          <t>Mayer Jörg:</t>
        </r>
        <r>
          <rPr>
            <sz val="9"/>
            <color indexed="81"/>
            <rFont val="Segoe UI"/>
            <family val="2"/>
          </rPr>
          <t xml:space="preserve">
"0"</t>
        </r>
      </text>
    </comment>
    <comment ref="G85" authorId="0" shapeId="0" xr:uid="{00000000-0006-0000-0800-000008000000}">
      <text>
        <r>
          <rPr>
            <b/>
            <sz val="9"/>
            <color indexed="81"/>
            <rFont val="Segoe UI"/>
            <family val="2"/>
          </rPr>
          <t>Kolonnenparken</t>
        </r>
      </text>
    </comment>
    <comment ref="I85" authorId="1" shapeId="0" xr:uid="{37C970C9-AAAC-4D7F-AEDA-454FCBD8184F}">
      <text>
        <r>
          <rPr>
            <b/>
            <sz val="9"/>
            <color indexed="81"/>
            <rFont val="Segoe UI"/>
            <family val="2"/>
          </rPr>
          <t>Mayer Jörg:</t>
        </r>
        <r>
          <rPr>
            <sz val="9"/>
            <color indexed="81"/>
            <rFont val="Segoe UI"/>
            <family val="2"/>
          </rPr>
          <t xml:space="preserve">
"40"</t>
        </r>
      </text>
    </comment>
    <comment ref="G86" authorId="0" shapeId="0" xr:uid="{00000000-0006-0000-0800-000009000000}">
      <text>
        <r>
          <rPr>
            <b/>
            <sz val="9"/>
            <color indexed="81"/>
            <rFont val="Segoe UI"/>
            <family val="2"/>
          </rPr>
          <t>Kompaktparken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mai</author>
  </authors>
  <commentList>
    <comment ref="S15" authorId="0" shapeId="0" xr:uid="{00000000-0006-0000-0700-000003000000}">
      <text>
        <r>
          <rPr>
            <b/>
            <sz val="9"/>
            <color indexed="81"/>
            <rFont val="Segoe UI"/>
            <family val="2"/>
          </rPr>
          <t>mai:</t>
        </r>
        <r>
          <rPr>
            <sz val="9"/>
            <color indexed="81"/>
            <rFont val="Segoe UI"/>
            <family val="2"/>
          </rPr>
          <t xml:space="preserve">
irgendwie gibt’s Schwierigkeiten mit dieser Formel; ich bekomme es gerade nicht gelöst</t>
        </r>
      </text>
    </comment>
    <comment ref="T15" authorId="0" shapeId="0" xr:uid="{00000000-0006-0000-0700-000004000000}">
      <text>
        <r>
          <rPr>
            <b/>
            <sz val="9"/>
            <color indexed="81"/>
            <rFont val="Segoe UI"/>
            <family val="2"/>
          </rPr>
          <t>mai:</t>
        </r>
        <r>
          <rPr>
            <sz val="9"/>
            <color indexed="81"/>
            <rFont val="Segoe UI"/>
            <family val="2"/>
          </rPr>
          <t xml:space="preserve">
irgendwie gibt’s Schwierigkeiten mit dieser Formel; ich bekomme es gerade nicht gelöst
</t>
        </r>
      </text>
    </comment>
  </commentList>
</comments>
</file>

<file path=xl/sharedStrings.xml><?xml version="1.0" encoding="utf-8"?>
<sst xmlns="http://schemas.openxmlformats.org/spreadsheetml/2006/main" count="875" uniqueCount="555">
  <si>
    <t>Eckdaten</t>
  </si>
  <si>
    <t>AH</t>
  </si>
  <si>
    <t>P</t>
  </si>
  <si>
    <t>PWC</t>
  </si>
  <si>
    <t>TK</t>
  </si>
  <si>
    <t>TR</t>
  </si>
  <si>
    <t>TRM</t>
  </si>
  <si>
    <t>Kürzel</t>
  </si>
  <si>
    <t>Beschreibung</t>
  </si>
  <si>
    <t>Autohof</t>
  </si>
  <si>
    <t>Parkplatz</t>
  </si>
  <si>
    <t>Parkplatz mit WC</t>
  </si>
  <si>
    <t>Tanken und Kolonnen-/Kompaktparken</t>
  </si>
  <si>
    <t>Tank und Rast</t>
  </si>
  <si>
    <t>Tank und Rast mit Motel</t>
  </si>
  <si>
    <t>Liegt der vorgesehene Standort innerhalb von bewegtem Gelände (z. B. Hanglage)?</t>
  </si>
  <si>
    <t>Sind größere Erdbewegungen oder Stützkonstruktionen erforderlich?</t>
  </si>
  <si>
    <t>Sind größere Aufwendungen für Rückhaltungs- oder Versickerungsanlagen zu erwarten?</t>
  </si>
  <si>
    <t>Ist im Planungsgebiet ein Kanalnetz vorhanden, an das angeschlossen werden kann?</t>
  </si>
  <si>
    <t>Liegt das Planungsgebiet innerhalb einer Wasserschutzzone (ist eine Versickerung eventuell nicht möglich)?</t>
  </si>
  <si>
    <t>Grunderwerb</t>
  </si>
  <si>
    <t>Sind im Planungsgebiet kritische Strom- oder Gasleitungen (Überlandleitungen von Stromversorgern, Gaspipelines o.ä.) vorhanden?</t>
  </si>
  <si>
    <t>Ist Telematisches Parken vorgesehen?</t>
  </si>
  <si>
    <t>Anzahl Konzepte</t>
  </si>
  <si>
    <t>Berechnung/Eintrag automatisch</t>
  </si>
  <si>
    <t>ja</t>
  </si>
  <si>
    <t>nein</t>
  </si>
  <si>
    <t>Ist im Planungsgebiet eine erhöhte Kampfmittelwahrscheinlichkeit gegeben?</t>
  </si>
  <si>
    <t>Es ergibt sich ein Nutzen-Kosten-Verhältnis von (____).</t>
  </si>
  <si>
    <t>Entwässerung</t>
  </si>
  <si>
    <t>Es ergeben sich gesamte Kosten von (____) [€/a].</t>
  </si>
  <si>
    <t>Es ergeben sich gesamte Nutzen von (____) [€/a].</t>
  </si>
  <si>
    <t>Nr.</t>
  </si>
  <si>
    <t>Bewirtschaftet</t>
  </si>
  <si>
    <t>Abdeckungsbereich</t>
  </si>
  <si>
    <t>Wie groß ist der Abdeckungsbereich [km] vor und hinter einer unbewirtschafteten Rastanlage?</t>
  </si>
  <si>
    <t>Wie groß ist der Abdeckungsbereich [km] vor und hinter einer bewirtschafteten Rastanlage?</t>
  </si>
  <si>
    <t>Wie groß soll die Mindestabdeckung auf einem Kilometer Strecke [Lkw-Pst./km] sein?</t>
  </si>
  <si>
    <t>Wie lang [km] muss ein Netzabschnitt mindestens sein, um alleinstehend bewertet werden zu können?</t>
  </si>
  <si>
    <t>Wie groß soll der Malus bei Nichtabdeckung auf einem Kilometer Strecke [€/(a*km)] sein?</t>
  </si>
  <si>
    <t>Wie groß soll der Nutzenwert je Kilometer [€/(a*km)] für die Gleichmäßigkeit der Verteilung aller Rastanlagen im Betrachtungsraum sein?</t>
  </si>
  <si>
    <t>Pauschalangaben</t>
  </si>
  <si>
    <t>Wie viel monetärer Nutzen [€/a] kann für einen neu geschaffenen Lkw-Parkstand pro Jahr angenommen werden?</t>
  </si>
  <si>
    <t>gering</t>
  </si>
  <si>
    <t>mittel</t>
  </si>
  <si>
    <t>groß</t>
  </si>
  <si>
    <t>kein</t>
  </si>
  <si>
    <t>Es ergibt sich ein gesamter Nutzen für neu geschaffene Lkw-Parkstände von (____) [€/a].</t>
  </si>
  <si>
    <t>Es ergibt sich ein gesamter Nutzen für die Erweiterbarkeit von (____) [€/a].</t>
  </si>
  <si>
    <t>Nutzenausfälle</t>
  </si>
  <si>
    <t>PARAMETER</t>
  </si>
  <si>
    <t>Allgemeine Parameter</t>
  </si>
  <si>
    <t>Qualitative Punkte-Einteilung
AUFWÄNDE und AUSFÄLLE</t>
  </si>
  <si>
    <t>Phase 1</t>
  </si>
  <si>
    <t>Phase 2</t>
  </si>
  <si>
    <t>HG2: Welche Netto-Kosten [€] fallen für die Baustelleneinrichtung und baubegleitenden Leistungen an?</t>
  </si>
  <si>
    <t>HG3: Welche Netto-Kosten [€] fallen für die Verkehrssicherung der Arbeitsstellen an?</t>
  </si>
  <si>
    <t>HG4: Welche Netto-Kosten [€] fallen für den Erdbau, die Bodenerkundung und die Bodenentsorgung an?</t>
  </si>
  <si>
    <t>HG5: Welche Netto-Kosten [€] fallen für den Oberbau an?</t>
  </si>
  <si>
    <t>HG6: Welche Netto-Kosten [€] fallen für den konstruktiven Ingenieurbau an?</t>
  </si>
  <si>
    <t>HG7: Welche Netto-Kosten [€] fallen für den Landschaftsbau an?</t>
  </si>
  <si>
    <t>HG8: Welche Netto-Kosten [€] fallen für die Ausstattung an?</t>
  </si>
  <si>
    <t>HG9: Welche Netto-Kosten [€] fallen für sonstige besonderen Anlagen und Kosten an?</t>
  </si>
  <si>
    <t>Rastanlagenangebot</t>
  </si>
  <si>
    <t>HG1: Welche Netto-Kosten [€] fallen für den Grunderwerb an?</t>
  </si>
  <si>
    <t>HG1</t>
  </si>
  <si>
    <t>HG2</t>
  </si>
  <si>
    <t>HG3</t>
  </si>
  <si>
    <t>HG4</t>
  </si>
  <si>
    <t>HG5</t>
  </si>
  <si>
    <t>HG6</t>
  </si>
  <si>
    <t>HG7</t>
  </si>
  <si>
    <t>HG8</t>
  </si>
  <si>
    <t>HG9</t>
  </si>
  <si>
    <t>Planungsphasen</t>
  </si>
  <si>
    <t>Gesamtplanung</t>
  </si>
  <si>
    <t>pauschale Anteile</t>
  </si>
  <si>
    <t>einzeln</t>
  </si>
  <si>
    <t>Summe</t>
  </si>
  <si>
    <t>Planungskosten</t>
  </si>
  <si>
    <t>X</t>
  </si>
  <si>
    <t>Gewichtungen Aufwände</t>
  </si>
  <si>
    <t>Erdmassen / Stützkonstruktionen</t>
  </si>
  <si>
    <t>Kampfmittel</t>
  </si>
  <si>
    <t>Ausgleichsmaßnahmen</t>
  </si>
  <si>
    <t>In welchem Umfang sind Flächen mit hoher landschaftspflegerischer Wertigkeit betroffen?</t>
  </si>
  <si>
    <t>In welchem Umfang sind Lärmschutzmaßnahmen vorzunehmen?</t>
  </si>
  <si>
    <t>In welchem Umfang sind kreuzende Straßen und Wege zu verlegen?</t>
  </si>
  <si>
    <t>Kritische Leitungen</t>
  </si>
  <si>
    <t>Telematisches Parken</t>
  </si>
  <si>
    <t>In welchem Umfang muss Grund/Fläche erworben werden, der sich nichtim Bundes- oder Landeseigentum befindet?</t>
  </si>
  <si>
    <t>Gewichtungen Nutzen</t>
  </si>
  <si>
    <t>Erweiterbarkeit</t>
  </si>
  <si>
    <t>Nutzenausfall bei der Bauausführung</t>
  </si>
  <si>
    <t>Gewichtung</t>
  </si>
  <si>
    <t>Berechnung</t>
  </si>
  <si>
    <t>Neubau</t>
  </si>
  <si>
    <t>Kosten für den Straßenbetriebsdienst</t>
  </si>
  <si>
    <t>Einheit</t>
  </si>
  <si>
    <t>Bestand</t>
  </si>
  <si>
    <t>Nutzen</t>
  </si>
  <si>
    <t>Kosten Betriebsdienst:</t>
  </si>
  <si>
    <t>€/a</t>
  </si>
  <si>
    <t>Kosten für Rastanlagen</t>
  </si>
  <si>
    <t>Kosten für telematische Einrichtungen</t>
  </si>
  <si>
    <t>Kosten für Energieversorgung / Beleuchtung</t>
  </si>
  <si>
    <t>Instandsetzungs- und Erneuerungskosten</t>
  </si>
  <si>
    <t>Gesamtnutzen aus der Veränderung der laufenden Kosten [€/a]</t>
  </si>
  <si>
    <t>Energie</t>
  </si>
  <si>
    <t>Instandhaltung</t>
  </si>
  <si>
    <t>Einsatz von telemat. Parken</t>
  </si>
  <si>
    <t>Kolonne</t>
  </si>
  <si>
    <t>Kompakt</t>
  </si>
  <si>
    <t>Kosten für Telematik</t>
  </si>
  <si>
    <t>[€/(Parkstand*a)]</t>
  </si>
  <si>
    <t>Betriebskosten</t>
  </si>
  <si>
    <t>Wie hoch ist der Kostensatz [€/(100m²*a)] für den Straßenbetriebsdienst?</t>
  </si>
  <si>
    <t>Straßenbetriebsdienst</t>
  </si>
  <si>
    <t>Rastanlagen</t>
  </si>
  <si>
    <t>Wie hoch ist der Kostensatz [€/(WC-Anlage*a)] für das Reinigen von WC-Anlagen?</t>
  </si>
  <si>
    <t>Wie hoch ist der Kostensatz [€/(100m²*a)] für das Einsammeln und Entsorgen von Müll?</t>
  </si>
  <si>
    <t>optionale Eingabe</t>
  </si>
  <si>
    <t>Energieversorgung / Beleuchtung</t>
  </si>
  <si>
    <t>Wie hoch ist der Kostensatz [€/(m²*a)] für die Energieversorgung / Beleuchtung?</t>
  </si>
  <si>
    <t>Instandsetzung und Erneuerung</t>
  </si>
  <si>
    <t xml:space="preserve">Wie hoch ist der Kostensatz [€/(100m²*a)] für Instandsetzungs- und Erneuerungsmaßnahmen? </t>
  </si>
  <si>
    <t>Falls diese Kosten nicht bekannt sind, Abschätzung über Kostensatz:</t>
  </si>
  <si>
    <t>Eingabe, falls die Kosten für Instandsetzungs- und Erneuerungsmaßnahmen der vorhandenen Anlage bekannt sind:</t>
  </si>
  <si>
    <t>Tatsächliche Kosten Betriebsdienst (falls bekannt/abschätzbar):</t>
  </si>
  <si>
    <t>Konzeptname</t>
  </si>
  <si>
    <t>Konzeptbezeichnung und/oder</t>
  </si>
  <si>
    <t>Kosten Betrieb Rastanlagen</t>
  </si>
  <si>
    <t>Tatsächliche Kosten Betrieb Rastanlagen (falls bekannt/abschätzbar)</t>
  </si>
  <si>
    <t>Energiekosten Telematik</t>
  </si>
  <si>
    <t>Tatsächliche Energiekosten Telematik (falls bekannt/abschätzbar)</t>
  </si>
  <si>
    <t>Instandhaltung Telematik</t>
  </si>
  <si>
    <t>Kosten Energieversorgung/Beleuchtung</t>
  </si>
  <si>
    <t>Tatsächliche Kosten Energieversorgung/Beleuchtung (falls bekannt/abschätzbar)</t>
  </si>
  <si>
    <t>Kosten für Instandsetzungs- und Erneuerungsmaßnahmen der vorhandenen Anlage [€/a]</t>
  </si>
  <si>
    <t>Entfällt bei Neubau, es sei denn der Neubau ist ein Ersatz für eine Bestandsanlage:</t>
  </si>
  <si>
    <t>Veränderung der laufenden Kosten (gemäß RWS Kapitel 8.10)</t>
  </si>
  <si>
    <t>Veränderung der Fahrtzeit, Betriebskosten, Schadstoff- und Klimakosten gemäß RWS</t>
  </si>
  <si>
    <t>Erforderliche Eingabedaten</t>
  </si>
  <si>
    <t>Planung</t>
  </si>
  <si>
    <t>Auslastungsgrad</t>
  </si>
  <si>
    <t>Anzahl der erfolglos angefahrenen Rastanlagen:</t>
  </si>
  <si>
    <t>(Lkw x km)/a</t>
  </si>
  <si>
    <t>Berechnung zusätzliche Fahrtzeit durch Parksuchverkehr</t>
  </si>
  <si>
    <t>Zusätzliche Fahrtzeit pro Tag:</t>
  </si>
  <si>
    <t>h/a</t>
  </si>
  <si>
    <t>Zusätzliche Fahrtkosten pro Jahr:</t>
  </si>
  <si>
    <t>Zusätzliche Betriebskosten pro Jahr:</t>
  </si>
  <si>
    <t>Zusätzliche Kraftstoffkosten pro Jahr:</t>
  </si>
  <si>
    <t>Zusätzliche Schadstoffbelastung pro Jahr:</t>
  </si>
  <si>
    <t>Zusätzliche Klimabelastung pro Jahr:</t>
  </si>
  <si>
    <t>Rückgang der Kosten im Planungsfall = Nutzen</t>
  </si>
  <si>
    <t>Nutzen/Parkstand:</t>
  </si>
  <si>
    <t>Jahr</t>
  </si>
  <si>
    <t>BPI</t>
  </si>
  <si>
    <t>Für das Konzept fallen Gesamtkosten nach AKVS von (____) [€] an.</t>
  </si>
  <si>
    <t>Wie hoch ist die zusätzliche Fahrleistung [km] pro Parksuchvorgang?</t>
  </si>
  <si>
    <t>Wie viele Parksuchfahrten werden maximal durchgeführt?</t>
  </si>
  <si>
    <t>Wie ist die Dauer [min] eines Parksuchvorgangs?</t>
  </si>
  <si>
    <t>Wie groß ist der Zeitkostensatz [€/(Kfz*h)] für einen Lkw?</t>
  </si>
  <si>
    <t>Wie groß ist der Fahrleistungskostensatz [€/(100Kfz*km)]?</t>
  </si>
  <si>
    <t>Wie groß ist der Kraftstoffsverbrauchsfaktor [g/(Kfz*km)]?</t>
  </si>
  <si>
    <t>Wie groß ist der Kraftstoffkostensatz [€/l]?</t>
  </si>
  <si>
    <t>Wie groß ist der Faktor zur Umrechnung des Kraftstoffverbrauchs von Masse auf Volumen?</t>
  </si>
  <si>
    <t>Wie groß ist der Emissionsfaktor [g/(Kfz*km)] von PM2,5 für den Schwerverkehr?</t>
  </si>
  <si>
    <t>Wie groß ist der Emissionsfaktor [mg/(Kfz*km)] für nicht-motorbedingte PM2,5-Emissionen für den Schwerverkehr?</t>
  </si>
  <si>
    <t>Weitere Nutzen nach RWS</t>
  </si>
  <si>
    <t>min/d</t>
  </si>
  <si>
    <t>[-]</t>
  </si>
  <si>
    <t>---</t>
  </si>
  <si>
    <t>Rastanlage</t>
  </si>
  <si>
    <t>betrachtete</t>
  </si>
  <si>
    <t>Zusätzliche Fahrleistung durch Parksuchvorgänge</t>
  </si>
  <si>
    <t>--- = keine Eingabe</t>
  </si>
  <si>
    <t>Wie groß ist die Kapazität an Lkw-Parkständen?</t>
  </si>
  <si>
    <t>[Lkw-Pst]</t>
  </si>
  <si>
    <t>initial</t>
  </si>
  <si>
    <t>Es ergibt sich ein gesamter Nutzen für die Veränderung der Betriebskosten von (____) [€/a].</t>
  </si>
  <si>
    <t>Lp2 Vorplanung (Voruntersuchung)</t>
  </si>
  <si>
    <t>Lp3 Entwurfsplanung (Vorentwurf)</t>
  </si>
  <si>
    <t>Lp4 Genehmigungsplanung (Feststellungsentwurf)</t>
  </si>
  <si>
    <t>Lp5 Ausführungsplanung</t>
  </si>
  <si>
    <t>Wie hoch ist der Zinssatz [€/a] zur Ermittlung der Annuitätenfaktoren?</t>
  </si>
  <si>
    <t>Haupt-gruppe</t>
  </si>
  <si>
    <t>Annuitäten</t>
  </si>
  <si>
    <t>Abschreibungs-zeiträume und Annuitäten</t>
  </si>
  <si>
    <t>Planungszeit [Monate]</t>
  </si>
  <si>
    <t>Lp6 Vergabe</t>
  </si>
  <si>
    <t>Der mittlere Annuitätenfaktor für das Konzept beträgt (____).</t>
  </si>
  <si>
    <t>Es ergibt sich ein gesamter Nutzen für eingesparte Fahrtzeit durch Parksuchverkehr von (____) [€/a].</t>
  </si>
  <si>
    <t>Für das Konzept fallen Baukosten zum Preisstand 2012 von (____) [€] an.</t>
  </si>
  <si>
    <t>Annuitäten-faktor [1/a]</t>
  </si>
  <si>
    <t>Abschrei-bungs-zeitraum [a]</t>
  </si>
  <si>
    <t>Rechenwert [a]</t>
  </si>
  <si>
    <t>Betriebskosten für den Planfall [€/a]</t>
  </si>
  <si>
    <t xml:space="preserve"> </t>
  </si>
  <si>
    <t>K</t>
  </si>
  <si>
    <t>Kleinrastanlage (ohne Tanken und Übernachten)</t>
  </si>
  <si>
    <t>Bis zu welcher Ausfallzeit [a] soll von einem geringem oder mittlerem Nutzungsausfall ausgegangen werden? (1)</t>
  </si>
  <si>
    <t>Bis zu welcher Ausfallzeit [a] soll bei einer geringen Anzahl ausfallender Lkw-Parkstände (3) von einem mittleren Nutzungsausfall ausgegangen werden? (2)</t>
  </si>
  <si>
    <t>Bis zu welcher Anzahl ausfallender Lkw-Parkstände soll von einem geringen oder mittleren Nutzungsausfall ausgegangen werden? (3)</t>
  </si>
  <si>
    <t>Es ergibt sich ein gesamter negativer Nutzen für Ausfälle bei der Bauausführung von (____) [€/a].</t>
  </si>
  <si>
    <t>Planungsunterlagen des Rastanlagen-Konzepts</t>
  </si>
  <si>
    <t>Welche Gesamtfläche [m²] wird für das Rastanlagen-Konzept benötigt?</t>
  </si>
  <si>
    <t>Wie viele Gebäude mit WC-Anlagen liegen für das Rastanlagen-Konzept insgesamt vor?</t>
  </si>
  <si>
    <t>Wie viele Lkw-Parkstände stehen insgesamt mit dem Rastanlagen-Konzept zur Verfügung?</t>
  </si>
  <si>
    <t>Qualitative Punkte-Einteilung
GRUNDERWERB</t>
  </si>
  <si>
    <t>Nein, kein Grunderwerb</t>
  </si>
  <si>
    <t>Ja: Landwirtschaftliche Fläche</t>
  </si>
  <si>
    <t>Ja: Forstwirtschaftliche Fläche</t>
  </si>
  <si>
    <t>Ja: Sonstige Fläche</t>
  </si>
  <si>
    <t>Ja: Gewerbliche Baufläche</t>
  </si>
  <si>
    <t>Ja: Sonderbaufläche</t>
  </si>
  <si>
    <t>Ja: Gemischte Baufläche</t>
  </si>
  <si>
    <t>Ja: Wohnbaufläche</t>
  </si>
  <si>
    <t>Wie lange ist die Bauzeit [Monate] für das Rastanlagen-Konzept?</t>
  </si>
  <si>
    <t>Für das Konzept fallen Barwerte der Grunderwerbskosten in der Bauzeit von (____) [€] an.</t>
  </si>
  <si>
    <t>Für das Konzept fallen Barwerte der Baukosten in der Bauzeit von (____) [€/a] an.</t>
  </si>
  <si>
    <t>Für das Konzept fallen Barwerte der Planungskosten in der Planungszeit von (____) [€/a] an.</t>
  </si>
  <si>
    <t>Wie groß ist der Kostensatz [€/t] für Vegetationsschäden (NOX)?</t>
  </si>
  <si>
    <t>Wie groß ist der Kostensatz [€/t] für Vegetationsschäden SO2?</t>
  </si>
  <si>
    <t>Wie groß ist der Kostensatz [€/t] für Vegetationsschäden NH3?</t>
  </si>
  <si>
    <t>Wie groß ist der Emissionsfaktor [g/(Kfz*km)] von NOx für den Schwerverkehr?</t>
  </si>
  <si>
    <t>Wie groß ist der Emissionsfaktor [g/(Kfz*km)] von NO2 für den Schwerverkehr?</t>
  </si>
  <si>
    <t>Wie groß ist der Emissionsfaktor [g/(Kfz*km)] von SO2 für den Schwerverkehr?</t>
  </si>
  <si>
    <t>Wie groß ist der Emissionsfaktor [g/(Kfz*km)] von NH3 für den Schwerverkehr?</t>
  </si>
  <si>
    <t>Wie groß ist der Emissionsfaktor [g/(Kfz*km)] von CO2 im fließenden Verkehr für den Schwerverkehr?</t>
  </si>
  <si>
    <t>Wie groß ist der Kostensatz [€/t] für CO2 Klimabelastung?</t>
  </si>
  <si>
    <t xml:space="preserve">     Es ergibt sich ein Nutzen-Kosten-Verhältnis für die Erweiterbarkeit von (____).</t>
  </si>
  <si>
    <t xml:space="preserve">     Es ergibt sich ein Nutzen-Kosten-Verhältnis für Nutzungsausfälle während der Bauzeit
     von (____).</t>
  </si>
  <si>
    <t xml:space="preserve">     Es ergibt sich ein Nutzen-Kosten-Verhältnis für die Veränderung der Betriebskosten
     von (____).</t>
  </si>
  <si>
    <t xml:space="preserve">     Es ergibt sich ein Nutzen-Kosten-Verhältnis für weitere Nutzen nach RWS von (____).</t>
  </si>
  <si>
    <t>Beschreibungen</t>
  </si>
  <si>
    <t>Hintergrund: Kurze Netzabschnitte bieten den Verkehrsteilnehmenden nicht die Möglichkeit, innerhalb eines Toleranz-Zeitraums und/oder -Weges eine geeignete Rastanlage zu finden.
Initial wurde eine maximale Suchzeit von 45 Minuten (= 60 km bei 80 km/h für Lkw als maßgebendes Fahrzeug) angesetzt.</t>
  </si>
  <si>
    <t>Der Regelabstand für unbewirtschaftete Rastanlagen nach ERS beträgt 15-20km. In einer Sensitivitätsanalyse konnte der Regelabstand bestätigt werden, sodass der Abdeckungsbereich vor und hinter einer unbewirtschafteten Rastanlage zu je 10km angenommen wurde.</t>
  </si>
  <si>
    <t>Der Regelabstand für bewirtschaftete Rastanlagen nach ERS beträgt 50-60km. In einer Sensitivitätsanalyse konnte der Regelabstand bestätigt werden, sodass der Abdeckungsbereich vor und hinter einer bewirtschafteten Rastanlage zu je 25km angenommen wurde.</t>
  </si>
  <si>
    <t>Es soll eine möglichst gleichmäßige Verteilung der Abdeckung durch alle Rastanlagen im Betrachtungsraum erzielt werden. Rastanlagen-Varianten, die eine geringere Abweichung vom Mittelwert über den Betrachtungsraum aufweisen, sollen einen größeren Nutzen bekommen. Als Kenngröße wird hierfür das Verhältnis von Gesamtstrecke zu den über die Gesamtstrecke gemittelten Abweichungsquadraten der Variante verwendet und mit dem Parameter verrechnet. Da sich für den Parameter kein Wert direkt aus der Literatur ableiten lässt, wurde der Wert in einer Sensitivitätsanalyse bestimmt.</t>
  </si>
  <si>
    <t>Nichtabdeckung, also ein km-Segment ohne Abdeckung durch eine Rastanlage, sollte vermieden werden. Daher sollte der Nutzen des vorhandenen Rastanlagenangebots durch einen Malus je nicht-abgedeckten km-Segment (s.o. Mindestabdeckung) nicht unerheblich reduziert werden. Da sich für den Parameter kein Wert direkt aus der vorhandenen Literatur ableiten lässt, wurde der Wert in einer Sensitivitätsanalyse bestimmt.</t>
  </si>
  <si>
    <t>Für die qualitative Punkte-Einteilung (Skala Min=0 bis Max=10) für Aufwände und Ausfälle wurde eine näherungsweise lineare Verteilung der 4 Auswahlkategorien gewählt. Zur Vereinfachung für den Anwender wurde daraus eine binäre Auswahl für den Fall eines Eintretens von Aufwänden oder Ausfällen abgeleitet (gering, groß).</t>
  </si>
  <si>
    <t>Die Punkte-Einteilung wurde anhand von Bodenrichtwerten für Stichproben über das Bundesgebiet verteilt aus dem Bodenrichtwert-Informationssystem für Deutschland (BORIS-D; https://www.bodenrichtwerte-boris.de/) mit dem Stand vom 04.08.2022 bestimmt. Die volle Punktzahl von '10' wurde dabei der Wohnbaufläche zugeschrieben. Alle anderen skalieren sich entsprechend ihrer ermittelten mittleren Bodenrichtwerte.</t>
  </si>
  <si>
    <t>Entspricht dem Mittelwert für zweistreifige RFB mit/ohne Seitenstreifen, bezogen auf die Fläche von 1 km Autobahn (nach Entwurf RWS 2019)</t>
  </si>
  <si>
    <t>Entnommen aus Entwurf RWS 2019 Kap. 8.10.1.3</t>
  </si>
  <si>
    <t>Mittelwert von 4 Beispielanlagen aus dem zugrundeliegenden Forschungsprojekt, für die diese Kosten angegeben wurden, multipliziert mit einem aktuellen kWh-Preis (Stand 07/2022)</t>
  </si>
  <si>
    <t>Die zusätzliche Fahrleistung pro (erfolglosem) Parksuchvorgang unterscheidet sich auf verschiedenen Rastanlagen sehr. Daher wurde mit dem Betreuerkreis des zugrundeliegenden Forschungsprojekts der Wert von '0,2 km' initial gesetzt.</t>
  </si>
  <si>
    <t>Nach wie vielen erfolglosen Suchen (Anfahrten von Rastanlagen) wird ein Lkw-Fahrer entweder "wild" parken oder das BAB-Netz verlassen. Der Wert wurde im Betreuerkreis des zugrundliegenden Forschungsprojekts initial abgestimmt.</t>
  </si>
  <si>
    <t>Annahme:
bei 10 km/h benötigt der Lkw 1,2 min (für 200 m)
bei 5 km/h benötigt der Lkw 2,4 min (für 200 m)
==&gt; Schrittgeschwindigkeit + mehrmaliges Anhalten ==&gt; 5 min
Der Wert wurde im Betreuerkreis des zugrundliegenden Forschungsprojekts initial abgestimmt.</t>
  </si>
  <si>
    <t>Entnommen aus Entwurf RWS 2019 Kap. 8.2.5 Tab. 62</t>
  </si>
  <si>
    <t>Entnommen aus Entwurf RWS 2019 Kap. 8.3.3.1 Tab. 68</t>
  </si>
  <si>
    <t>Entnommen aus Entwurf RWS 2019 Kap. 8.3.2.1 Tab. 63</t>
  </si>
  <si>
    <t>Entnommen aus Entwurf RWS 2019 Kap. 8.3.3.2 Tab. 69</t>
  </si>
  <si>
    <t>Entnommen aus Entwurf RWS 2019 Kap. 8.3.4</t>
  </si>
  <si>
    <t>Entnommen aus Entwurf RWS 2019 Kap. 8.6.3.6 Tab. 134</t>
  </si>
  <si>
    <t>Entnommen aus Entwurf RWS 2019 Kap. 8.6.1.1 Tab. 113</t>
  </si>
  <si>
    <t>Entnommen aus Entwurf RWS 2019 Kap. 8.6.1.3 Tab. 118</t>
  </si>
  <si>
    <t>Entnommen aus Entwurf RWS 2019 Kap. 8.7.1 Tab. 135</t>
  </si>
  <si>
    <t>Entnommen aus Entwurf RWS 2019 Kap. 9.2.1</t>
  </si>
  <si>
    <t>Entnommen aus Entwurf RWS 2019 Kap. 9.2.1 Tab. 158</t>
  </si>
  <si>
    <t>Für das Konzept fallen Planungskosten zum Preisstand 2012 von (____) [€] an.</t>
  </si>
  <si>
    <t>Für das Konzept werden (tatsächliche) Planungskosten in Höhe von (____) [€] angenommen/angesetzt. (Eingabe optional)</t>
  </si>
  <si>
    <t>Wie lautet der Name/Arbeitstitel des Rastanlagen-Konzepts? (Eingabe optional)</t>
  </si>
  <si>
    <t>∞</t>
  </si>
  <si>
    <t>Die Auswertung von vorliegenden Rastanlagen-Planungen (Ergebnisse aus Fragebogen) ergaben, dass eine Bauzeit von 1,5 bis 2 Jahren angenommen wird. Die Bauzeit wird hier als maximale Ausfallzeit angenommen. Längere Ausfallzeiten haben einen großen Einfluss auf die Nutzung. Die Werte wurden in einer Sensitivitätsanalyse bestätigt.</t>
  </si>
  <si>
    <t>Es wird davon ausgegangen, dass der Ausfall von einem zusammenhängenden Feld von Lkw-Parkständen (z. B. abgegrenzt durch Zwischeninseln) in Abhängigkeit der Ausfallzeit vertretbar sein kann. Hierfür wurden Lagepläne vorliegender Rastanlagen-Planungen ausgewertet, was ergab, dass diese Felder zwischen 7 und 13 Lkw-Parkstände umfassen. Daher wurde der intitial der Wert '10' für den Parameter gesetzt. Der Wert wurde in einer Sensitivitätsanalyse bestätigt.</t>
  </si>
  <si>
    <t>Der angegebene Wert gibt den Anteil des jeweiligen Aufwands bzw. Nutzens im Vergleich zur Summe aller Gewichte für die Aufwände bzw. Nutzen in Phase 1 an.
Die Summe muss demnach nicht zwingend auf 100 (%) eingestellt werden.
Die Werte wurden aus den Expertengesprächen im Betreuerkreis des zugrundliegenden Forschungsprojekts initial abgeleitet und in einer Sensitivitätsanalyse bestätigt.</t>
  </si>
  <si>
    <t>Die Mindestabdeckung gibt an, ab welchem Wert (Kapazität einer Rastanlage faktorisiert mit der Abdeckungskurve) ein km-Segment nicht für die Nichtabdeckung gezählt wird. Initial wird der Wert '0' angenommen, was bedeutet, dass ein km-Segment in keinem Abdeckungsbereich einer Rastanlage liegt. Dies ist ein technisch bedingter Parameter und muss daher nicht eingestellt werden.</t>
  </si>
  <si>
    <t>Eingabe(n) erforderlich</t>
  </si>
  <si>
    <t>Falls eine Tankstelle während der Bauzeit entfällt, wie groß ist der Nutzungsausfall [€] dieser Tankstelle?</t>
  </si>
  <si>
    <t>R</t>
  </si>
  <si>
    <t>Raststätte (ohne Tanken und Übernachten)</t>
  </si>
  <si>
    <t>Berechnung Auslastung und Lkw-Fahrleistung</t>
  </si>
  <si>
    <t>Falls ein Hotel während der Bauzeit entfällt, wie groß ist der Nutzungsausfall [€] dieses Hotels?</t>
  </si>
  <si>
    <t>Falls eine Raststätte während der Bauzeit entfällt, wie groß ist der Nutzungsausfall [€] dieser Raststätte?</t>
  </si>
  <si>
    <t>BAUPREISINDIZES
bis zum Jahr</t>
  </si>
  <si>
    <t>Konzept</t>
  </si>
  <si>
    <t>Eingabeparameter (Admin)</t>
  </si>
  <si>
    <t>Beeinträchtigung während der Bauzeit</t>
  </si>
  <si>
    <t>Parkstanddefizit</t>
  </si>
  <si>
    <t>Wie groß ist das Lkw-Parkstanddefizit im Bestand bzw. je Konzept?</t>
  </si>
  <si>
    <t>Wie viele Lkw-Parkstände können je Konzept vom Lkw-Parkstanddefizit reduziert werden?</t>
  </si>
  <si>
    <t xml:space="preserve">     Es ergibt sich ein Nutzen-Kosten-Verhältnis für das Parkstanddefizit von (____).</t>
  </si>
  <si>
    <t>Wie groß ist Lkw-Parkstandnachfrage für den Betrachtungsraum?</t>
  </si>
  <si>
    <t>Für das Konzept werden annualisierte Grunderwerbskosten in Höhe von (____) [€/a] angesetzt.</t>
  </si>
  <si>
    <t>Für das Konzept werden annualisierte Baukosten in Höhe von (____) [€/a] angesetzt.</t>
  </si>
  <si>
    <t>Aktuelles Netzkonzept der Autobahn GmbH</t>
  </si>
  <si>
    <t>Übersichtslageplan</t>
  </si>
  <si>
    <t>Kostenschätzung nach AKVS für alle Varianten</t>
  </si>
  <si>
    <t>Bauablaufplan mit Verkehrsabläufen</t>
  </si>
  <si>
    <t>Entnommen aus Entwurf RWS 2019 Kap. 8.7.4 (=145€); Forschungsprojekt BMDV VB970452 aktualsiert 25.02.26</t>
  </si>
  <si>
    <t>GE-Plan</t>
  </si>
  <si>
    <t>x</t>
  </si>
  <si>
    <t>Kontaktaufnahme zum Konzessionär</t>
  </si>
  <si>
    <t>Erläuterungsbericht</t>
  </si>
  <si>
    <t>Bauzeit</t>
  </si>
  <si>
    <t>Bemerkungen</t>
  </si>
  <si>
    <t>Tatsächliche Instandhaltungskosten Telematik (falls bekannt/abschätzbar)</t>
  </si>
  <si>
    <t>Erweiterung</t>
  </si>
  <si>
    <t>Neu- oder Umbau ersetzt eine vorhandene Anlage?</t>
  </si>
  <si>
    <t>Telematik</t>
  </si>
  <si>
    <t>Werte angelehnt an
Maibach, W., Tacke, A., Kießig, M.: Wirtschaftlichkeitsbewertung besonderer Parkverfahren zur Lkw-Parkkapazitätserhöhung an BAB. Berichte der Bundesanstalt für Straßenwesen, Heft V 294. Bergisch Gladbach 2017;
Telematik nicht im Forschungsbericht enthalten, Mittelwert aus Kolonne und Kompakt durch FBA ermittelt</t>
  </si>
  <si>
    <t>Wie lautet der Name der Rastanlage?</t>
  </si>
  <si>
    <t>Dropdownfeld (Eingabe erf.)</t>
  </si>
  <si>
    <t>Name Rastanlage</t>
  </si>
  <si>
    <t>Anzahl WC-Anlagen im Bestand</t>
  </si>
  <si>
    <t>Anzahl Lkw-Parkstände im Bestand</t>
  </si>
  <si>
    <t>Angabe Planungsphase</t>
  </si>
  <si>
    <t>Angabe Name/Arbeitstitel</t>
  </si>
  <si>
    <t>Anzahl Lkw-Parkstände in Planung</t>
  </si>
  <si>
    <t>Gesamtfläche Planung</t>
  </si>
  <si>
    <t>telematisches Parken in Planung</t>
  </si>
  <si>
    <t>angrenzende Flächen verfügbar</t>
  </si>
  <si>
    <t>EntfallKosten Hotel während Bauzeit</t>
  </si>
  <si>
    <t>Entfallkosten Raststätte während Bauzeit</t>
  </si>
  <si>
    <t>Entfallkosten Tankstelle während Bauzeit</t>
  </si>
  <si>
    <t>Ersetzt Konzept eine bestehende Anlage</t>
  </si>
  <si>
    <t>Angabe Neubau/Erweiterung/Umbau</t>
  </si>
  <si>
    <t>Angabe geplanter Anlagentyp</t>
  </si>
  <si>
    <t>Gesamtfläche im Bestand</t>
  </si>
  <si>
    <t>Telematisches Parken im Bestand</t>
  </si>
  <si>
    <t>Angabe Jahr der Aufstellung nach AKVS</t>
  </si>
  <si>
    <t>Nettokosten HG1</t>
  </si>
  <si>
    <t>Nettokosten HG2</t>
  </si>
  <si>
    <t>Nettokosten HG3</t>
  </si>
  <si>
    <t>Nettokosten HG4</t>
  </si>
  <si>
    <t>Nettokosten HG5</t>
  </si>
  <si>
    <t>Nettokosten HG6</t>
  </si>
  <si>
    <t>Nettokosten HG7</t>
  </si>
  <si>
    <t>Nettokosten HG8</t>
  </si>
  <si>
    <t>Nettokosten HG9</t>
  </si>
  <si>
    <t>Eintrag tatsächliche Planungskosten</t>
  </si>
  <si>
    <t>Lageplan /Schnitte Bestand + telematisches Parken</t>
  </si>
  <si>
    <t>Kontaktaufnahme zur Meisterei</t>
  </si>
  <si>
    <t>Kennwerte/Kennzahlen</t>
  </si>
  <si>
    <t>Gesamtfläche = die Fläche(n) einer Rastanlage, für die Instandhaltungs- und Pflegearbeiten anfallen
und somit zu den der Rastanlage zugeschriebenen Betriebskosten gehören
(inklusive der Flächen, die für eine Erweiterbarkeit vorgesehen waren); bei Neubau "0" eintragen</t>
  </si>
  <si>
    <t>bei Neubau "0" eintragen</t>
  </si>
  <si>
    <t xml:space="preserve">Gesamtfläche = die Fläche(n) einer Rastanlage, für die Instandhaltungs- und Pflegearbeiten anfallen und somit zu den der Rastanlage zugeschriebenen Betriebskosten gehören.
(exklusive der Flächen, die für eine Erweiterbarkeit vorgesehen sind) </t>
  </si>
  <si>
    <t>Es werden nur WC-Anlagen gezählt, die nicht zu einer bewirtschafteten Anlage
(Tankstelle, Hotel, Raststätte) gehören.</t>
  </si>
  <si>
    <t>Nutzungsausfall muss ggf. mit dem Konzessionär abgestimmt werden.
Falls KEINE Tankstelle entfällt, Null ("0") eintragen!</t>
  </si>
  <si>
    <t>Lkw-Parkstände gelten als entfallend, wenn sie mindestens einen Monat nicht zur Verfügung
stehen.  Vereinfachend wird angenommen, dass die Lkw-Parkstände während der gesamten Bauzeit entfallen.</t>
  </si>
  <si>
    <t>Kein Standardleistungskatalog</t>
  </si>
  <si>
    <t>101 Baustelleneinrichtung</t>
  </si>
  <si>
    <t>105 Verkehrssicherung an Arbeitsstellen</t>
  </si>
  <si>
    <t>102 Entsorgung, 103 Bodenerkundung, 106 Erdbau, 108 Baugruben, Leitungsgräben, 
109 Wasserhaltung, 110 Entwässerung für Straßen</t>
  </si>
  <si>
    <t>112 Schichten ohne Bindemittel, 113 Asphaltbauweisen,
114 Betonbauweisen, 115 Pflasterdecken, Plattenbeläge, Einfassungen</t>
  </si>
  <si>
    <t>Bezug wird erst mit Bauwerksentwurf zu mehreren Standardleistungskatalogen-
Leistungsbereichen hergestellt</t>
  </si>
  <si>
    <t>104 Pflanzenlieferung, 107 Landschaftsbauarbeiten
Weitere Ausgleichsmaßnahmen</t>
  </si>
  <si>
    <t>128 Zäune, Holzgeländer, 129 Fahrzeug-Rückhaltesysteme und Leiteinrichtungen,
130 Verkehrsschilder, 131 Fahrbahnmarkierungen, 132 Lichtsignalanlagen,
133 Straßenbeleuchtung, 134 Kabelverlegung, 135 Streckenfernmeldekabelmontage</t>
  </si>
  <si>
    <t>aus Netzkonzept -Einzelanlagen-</t>
  </si>
  <si>
    <t>Flächenaufteilungsplan mit Grünfläche, Versiegelung etc.</t>
  </si>
  <si>
    <t>Angrenzende Flächen für eine Erweiterung sind jene Flächen, die direkt an die Gesamtfläche der geplanten Rastanlage angrenzen oder angeschlossen und für eine zukünftige Erweiterung bereits jetzt vorgemerkt werden können.
Falls keine Erweiterungsflächen verfügbar sind, dann Null ("0") eingeben!</t>
  </si>
  <si>
    <t>Standortkonzept</t>
  </si>
  <si>
    <t>Eingabe von tatsächlichen Betriebskosten 
in nächsten Tabellenblatt "Betriebskosten"
(Link auf das Tabellenblatt)</t>
  </si>
  <si>
    <t>Bewertungsverfahren für Wirtschaftlichkeitsuntersuchungen von Rastanlagen mittels WU-Tool</t>
  </si>
  <si>
    <t>Kolonnenparken</t>
  </si>
  <si>
    <t>Kompaktparken</t>
  </si>
  <si>
    <t>Konventioneller Ausbau</t>
  </si>
  <si>
    <t>Falls tatsächliche Planungskosten vorliegen, können diese hier eingegeben werden. Ansonsten Feld leer lassen. Dann wird eine automatische Berechnung zur Abschätzung verwendet.
Hinweis aus RWS (Kap. 9.1.1): "Als Grundlage für die Bestimmung der Investitionskosten ist eine Kostenermittlung für die nicht abschreibungsfähigen Leistungen und alle abschreibungsfähigen Anlagenteile erforderlich. Die Kosten für nicht abschreibungsfähige Leistungen umfassen neben den Planungskosten u. a. Kosten für Grunderwerb einschließlich Entschädigungen, passiven Lärmschutz, Bodenerkundungen, Baustelleneinrichtung und baubegleitende Leistungen (Bauleitung) sowie Verkehrssicherung an Arbeitsstellen."
Bauüberwachung fällt ebenfalls unter baubegleitende Leistungen</t>
  </si>
  <si>
    <t>Grundlagen und Informationsbereitstellung</t>
  </si>
  <si>
    <t>Zeilennummer
 Standortkonzept</t>
  </si>
  <si>
    <t>Ist Telematisches Parken für das Rastanlagen-Konzept vorgesehen?</t>
  </si>
  <si>
    <t>Wie groß ist die Kapazität an LKW-Parkständen im betroffenen Netzabschnitt?</t>
  </si>
  <si>
    <t>Wie groß ist der Fehlbestand an LKW-Parkständen im betroffenen Netzabschnitt?</t>
  </si>
  <si>
    <t>Beispiel: GE-Plan und Flächenaufteilungsplan werden in einer Planunterlage zusammengefasst</t>
  </si>
  <si>
    <t>In der Spalte "Bemerkungen" sind u.a. auch Hinweise zu dem Tabellenblatt "Standortkonzept" enthalten.</t>
  </si>
  <si>
    <t>NKV</t>
  </si>
  <si>
    <t>nutzenungleiche Varianten = unterschiedliche Anzahl an Parkständen</t>
  </si>
  <si>
    <t>aus Netzkonzept -Netzabschnitte-</t>
  </si>
  <si>
    <t>(x)</t>
  </si>
  <si>
    <t>Planungsphasen nach HOAI (wenn nicht bekannt ist Lp2 auszuwählen)</t>
  </si>
  <si>
    <t>Gesamtergebnis</t>
  </si>
  <si>
    <t>Grunddaten</t>
  </si>
  <si>
    <t>Netz</t>
  </si>
  <si>
    <t>Rastanlage      Bestand</t>
  </si>
  <si>
    <t>Planungsphase</t>
  </si>
  <si>
    <t>Detaildaten</t>
  </si>
  <si>
    <t>Fläche und Parkstände</t>
  </si>
  <si>
    <t>Beeinträchtigung während Bauausführung</t>
  </si>
  <si>
    <t>Baukosten</t>
  </si>
  <si>
    <t>Preisstand</t>
  </si>
  <si>
    <t>Hauptgruppen   gemäß AKVS</t>
  </si>
  <si>
    <t>Barwerte nach RWS</t>
  </si>
  <si>
    <t>Das Nutzen-Kosten-Verhältnis (NKV) beträgt</t>
  </si>
  <si>
    <t>Nutzungsausfall bei der Bauausführung</t>
  </si>
  <si>
    <t>Veränderung der Betriebskosten</t>
  </si>
  <si>
    <t>Gesamtergebnis:</t>
  </si>
  <si>
    <t>Auf welcher Autobahn befindet sich die Rastanlage?</t>
  </si>
  <si>
    <t>In welcher Fahrtrichtung liegt die Rastanlage?</t>
  </si>
  <si>
    <t>Ermittlung Nutzen-Kosten-Verhältnis (NKV)</t>
  </si>
  <si>
    <t>Entscheidungsbaum</t>
  </si>
  <si>
    <t>Bei welcher Kilometrierung befindet sich die Rastanlage?</t>
  </si>
  <si>
    <t>5-8</t>
  </si>
  <si>
    <t>Autobahnnummer</t>
  </si>
  <si>
    <t xml:space="preserve">Kilometrierung </t>
  </si>
  <si>
    <t>Fahrtrichtung</t>
  </si>
  <si>
    <t>Angaben zu Netzabschnitten</t>
  </si>
  <si>
    <t>Anzahl WC-Anlagen in Planung</t>
  </si>
  <si>
    <t>Gesamtkosten</t>
  </si>
  <si>
    <t>Gesamtnutzen</t>
  </si>
  <si>
    <t>Diese Eingabe ist optional und muss nicht befüllt werden</t>
  </si>
  <si>
    <t>Es ist die Anzahl an Lkw-Parkständen einzugeben, die mit dem Standortkonzept insgesamt zur
Verfügung stehen! (Nicht nur die zusätzlichen Lkw-Parkstände!)</t>
  </si>
  <si>
    <t>Die Konzepte sind  voreingestellt und können nicht verändert werden</t>
  </si>
  <si>
    <t>Die Bauzeit der geplanten Rastanlage in Monaten.</t>
  </si>
  <si>
    <t>Hinweis: Wenn die tatsächlichen Kosten für Bestand UND Planfall nicht leer sind, dann wird dieser Wert angesetzt. Ansonsten wird der kalkulierte Nutzen aus vorheriger Zeile verwendet.</t>
  </si>
  <si>
    <t>Damit die Kosten für unterschiedliche Zeiträume vergleichbar sind, ist zur Diskontierung der Kosten auf das Referenzjahr 2012 zudem das Jahr anzugeben, für das die Investitionen für den Grunderwerb, die Planung und den Bau vorgesehen sind.</t>
  </si>
  <si>
    <t>Parameter</t>
  </si>
  <si>
    <t>Beschreibung der Rastanlage</t>
  </si>
  <si>
    <t>Telematisches Parken = Kolonnen- oder Kompaktparken</t>
  </si>
  <si>
    <t>Differenz-NKV</t>
  </si>
  <si>
    <t>NKV &lt; 1: Variante nicht wirtschaftlich</t>
  </si>
  <si>
    <t>NKV&gt;=1: Variante wirtschaftlich</t>
  </si>
  <si>
    <t>Konventionell</t>
  </si>
  <si>
    <t>Einfaches NKV</t>
  </si>
  <si>
    <t>Y</t>
  </si>
  <si>
    <t>Einfaches NKV, wenn Telematik &gt; Konventionell</t>
  </si>
  <si>
    <t>Differenz-NKV, wenn Telematik &lt; Konventionell</t>
  </si>
  <si>
    <t>Bedingung von &lt;&gt; wird notwendig wg. Analogie zum Entscheidungsbaum</t>
  </si>
  <si>
    <t>Z</t>
  </si>
  <si>
    <t>Differenz-NKV wg. Vergleichbarkeit Y und Z</t>
  </si>
  <si>
    <t>Durch Differenz-NKV mit X ist jeweils der gleiche Bezug gegeben, sodass eine Vergleichbarkeit zwischen Y und Z erfolgen kann.</t>
  </si>
  <si>
    <t>Beide Differenz-NKV (X-Y und X-Z) werden einander gegenübergestellt.</t>
  </si>
  <si>
    <t>WU-Tool-Rastanlagen: Relevante Fallkonstellationen (bei 3 Varianten)</t>
  </si>
  <si>
    <t>Das Differenz-NKV beträgt</t>
  </si>
  <si>
    <t xml:space="preserve">Das wirtschaftlichste Ergebnis ist </t>
  </si>
  <si>
    <t>1. Bedingung</t>
  </si>
  <si>
    <t xml:space="preserve"> NKV&gt;=1 für jede einzelne Variante</t>
  </si>
  <si>
    <t>Prüfbedingungen</t>
  </si>
  <si>
    <t>Schlussfolgerung</t>
  </si>
  <si>
    <t>Voraussetzung</t>
  </si>
  <si>
    <t>alle varianten nutzengleich</t>
  </si>
  <si>
    <t>Varianten nutzenungleich</t>
  </si>
  <si>
    <t>3. Bedingung</t>
  </si>
  <si>
    <t>alle Varianten sind nutzenungleich</t>
  </si>
  <si>
    <t>größtes NKV maßgebend</t>
  </si>
  <si>
    <t>Varianten NKV&lt;1 scheiden aus der Betrachtung aus</t>
  </si>
  <si>
    <t>größtes Differenz-NKV maßgebend</t>
  </si>
  <si>
    <t>Weitere Fallkonstellationen (keine Praxisfälle)</t>
  </si>
  <si>
    <t xml:space="preserve"> 3a.</t>
  </si>
  <si>
    <t>3b.</t>
  </si>
  <si>
    <t>Zusammenfassung</t>
  </si>
  <si>
    <t>Telematik&gt;Konventionell: größtes NKV maßgebend , 
Telematik&lt;Konventionell: größtes Differenz-NKV maßgebend</t>
  </si>
  <si>
    <t>2. Bedingung</t>
  </si>
  <si>
    <t>Monetärer angenommener Nutzen für Telem. Verfahren (FBA)</t>
  </si>
  <si>
    <t>Faktor monetärer Nutzen bei telematischem Parken</t>
  </si>
  <si>
    <t>Falls angrenzende Flächen verfügbar sind: Wie groß sind diese Flächen [m²] insgesamt?</t>
  </si>
  <si>
    <t>Stand: 16.06.2026</t>
  </si>
  <si>
    <t>Stand:16.06.2026</t>
  </si>
  <si>
    <t>Formeln</t>
  </si>
  <si>
    <t>Für das Konzept werden annualisierte Planungskosten in Höhe von (____) [€/a]
angesetzt.</t>
  </si>
  <si>
    <t>Für das Konzept fallen Grunderwerbskosten zum Preisstand 2012 von (____) [€] 
an.</t>
  </si>
  <si>
    <t>Ermittlung Nutzen und Kosten</t>
  </si>
  <si>
    <t>Entfall Lkw-Parkstände während der Bauzeit</t>
  </si>
  <si>
    <t>40-44</t>
  </si>
  <si>
    <t>Ermittlung Gesamtergebnis</t>
  </si>
  <si>
    <t>keine Eingabe erforderlich, Automatisierte Ermittlung</t>
  </si>
  <si>
    <t>Das WU-Tool gliedert sich wie folgt:.</t>
  </si>
  <si>
    <t>- Quickstart (Bedienungsanleitung und sonstige Festlegungen).</t>
  </si>
  <si>
    <t>- Informationsbereitstellung (Wo sollte ich die Eingabewerte finden?).</t>
  </si>
  <si>
    <t>- Standortkonzept (Was muss ich alles eintragen?).</t>
  </si>
  <si>
    <t>- Betriebskosten (Welche laufenden Kosten kommen auf mich zu?).</t>
  </si>
  <si>
    <t>- Parameter (Welche Parameter werden berücksichtigt?).</t>
  </si>
  <si>
    <t>- weitere Nutzen RWS (Was sind die Zusatzkosten?).</t>
  </si>
  <si>
    <t>- Formeln (Was ist die wirtschaftlichste Variante?).</t>
  </si>
  <si>
    <r>
      <t>Vor Nutzung des Tools den</t>
    </r>
    <r>
      <rPr>
        <b/>
        <sz val="11"/>
        <color theme="1"/>
        <rFont val="BundesSerif Office"/>
        <family val="1"/>
      </rPr>
      <t xml:space="preserve"> "Quickstart" bitte sorgfältig durchlesen</t>
    </r>
    <r>
      <rPr>
        <sz val="11"/>
        <color theme="1"/>
        <rFont val="BundesSerif Office"/>
        <family val="1"/>
      </rPr>
      <t>.</t>
    </r>
  </si>
  <si>
    <t>Quickstart /</t>
  </si>
  <si>
    <t>Allgemeines</t>
  </si>
  <si>
    <t xml:space="preserve">
</t>
  </si>
  <si>
    <t>weitere Nutzen RWS</t>
  </si>
  <si>
    <t>Weitere Festlegungen</t>
  </si>
  <si>
    <t>1. Telematikkomponenten</t>
  </si>
  <si>
    <t>Ansprechpartner, Fragen zum Tool und Support:   Fernstraßen-Bundesamt, Referat B 4: 📧 RefB4@fba.bund.de</t>
  </si>
  <si>
    <t>weitere</t>
  </si>
  <si>
    <t>Festlegungen</t>
  </si>
  <si>
    <t>Allgemein:</t>
  </si>
  <si>
    <t xml:space="preserve">Besonderheiten: </t>
  </si>
  <si>
    <t xml:space="preserve">
</t>
  </si>
  <si>
    <r>
      <t xml:space="preserve">Das Tabellenblatt </t>
    </r>
    <r>
      <rPr>
        <b/>
        <sz val="11"/>
        <color theme="1"/>
        <rFont val="BundesSerif Office"/>
        <family val="1"/>
      </rPr>
      <t>"Standortkonzept"</t>
    </r>
    <r>
      <rPr>
        <sz val="11"/>
        <color theme="1"/>
        <rFont val="BundesSerif Office"/>
        <family val="1"/>
      </rPr>
      <t xml:space="preserve"> stellt die Ein- und Ausgabeseite dar.</t>
    </r>
  </si>
  <si>
    <t>Informations-</t>
  </si>
  <si>
    <t>bereitstellung</t>
  </si>
  <si>
    <r>
      <t xml:space="preserve">Das Tabellenblatt </t>
    </r>
    <r>
      <rPr>
        <b/>
        <sz val="11"/>
        <color theme="1"/>
        <rFont val="BundesSerif Office"/>
        <family val="1"/>
      </rPr>
      <t>"Informationsbereitstellung"</t>
    </r>
    <r>
      <rPr>
        <sz val="11"/>
        <color theme="1"/>
        <rFont val="BundesSerif Office"/>
        <family val="1"/>
      </rPr>
      <t xml:space="preserve"> stellt eine Übersicht über die erforderlichen Unterlagen für alle benötigten Werte im Tabellenblatt "Standortkonzept" dar.</t>
    </r>
  </si>
  <si>
    <t>(Zeile 8 ist nur eine beispielhafte Auflistung, es können auch die erf. Werte aus zusammengefassten oder anderen (noch nicht aufgelisteten) Unterlagen entnommen werden.)</t>
  </si>
  <si>
    <t>Einführung</t>
  </si>
  <si>
    <r>
      <rPr>
        <sz val="11"/>
        <color rgb="FF7030A0"/>
        <rFont val="BundesSerif Office"/>
        <family val="1"/>
      </rPr>
      <t xml:space="preserve"> (Auswahlfeld »»»)</t>
    </r>
    <r>
      <rPr>
        <sz val="11"/>
        <color theme="1"/>
        <rFont val="BundesSerif Office"/>
        <family val="1"/>
      </rPr>
      <t xml:space="preserve"> = Bitte am rechten Rand einer Zelle die Dropdown-Liste öffnen und Eintrag auswählen</t>
    </r>
  </si>
  <si>
    <r>
      <rPr>
        <sz val="11"/>
        <color rgb="FF7030A0"/>
        <rFont val="BundesSerif Office"/>
        <family val="1"/>
      </rPr>
      <t>(____)</t>
    </r>
    <r>
      <rPr>
        <sz val="11"/>
        <color theme="1"/>
        <rFont val="BundesSerif Office"/>
        <family val="1"/>
      </rPr>
      <t xml:space="preserve"> = Lückenfeld, gedanklich zu füllen durch entsprechendes Variantenfeld</t>
    </r>
  </si>
  <si>
    <r>
      <t xml:space="preserve">Ansatz 1: Bei Kosten von ca. 100.000 € pro geschaffenem Lkw-Parkstand und einer angenommenen Nutzungsdauer von 30 Jahren ist ein Lkw-Parkstand ca. 3.300 €/a wert.
Ansatz 2: Bei Vermarktung eines Lkw-Parkstands (z.B. durch einen Autohof) können Jahreseinnahmen von ca. 3.500 € erzielt werden (Basisdaten: Kurzzeitparken: 5 €, Tagesticket 10 €, Wochenendticket 15€).
Weiterer Nutzen kann durch die Verbesserung der Verkehrssicherheit (Vermeidung von Parken im Rampenbereich, Schaffung ausreichender Parkstandkapazitäten zur Einhaltung der Lenkzeiten und Vermeidung von Übermüdung) generiert werden, die in dem vorliegenden Modell bislang nicht berücksichtigt sind.
Anhand einer Sensitivitätsanalyse wurde der Wert auf </t>
    </r>
    <r>
      <rPr>
        <sz val="11"/>
        <rFont val="BundesSerif Office"/>
        <family val="1"/>
      </rPr>
      <t>4.000</t>
    </r>
    <r>
      <rPr>
        <sz val="11"/>
        <color theme="1"/>
        <rFont val="BundesSerif Office"/>
        <family val="1"/>
      </rPr>
      <t xml:space="preserve"> €/a gesetzt.</t>
    </r>
  </si>
  <si>
    <r>
      <t xml:space="preserve">Pauschale Anteile: (___) % der Baukosten werden für die Planungsphase angesetzt (Pauschalwerte nach Entwurf RWS 07/2019 Kap. 9.1.2)
</t>
    </r>
    <r>
      <rPr>
        <strike/>
        <sz val="11"/>
        <color theme="1"/>
        <rFont val="BundesSerif Office"/>
        <family val="1"/>
      </rPr>
      <t>Nach Prüfungsmitteilung bzgl. der Planung, des Baus und der Abrechnung von telematischen Anlagen, insbes. VBA, des Bundesrechnungshofs an das BMVI vom 07.06.2016 beträgt der Anteil der Gesamtkosten für die Planung bis zu 15% . Die Werte der RWS wurden entsprechend interpoliert (siehe "initial").</t>
    </r>
    <r>
      <rPr>
        <sz val="11"/>
        <color theme="1"/>
        <rFont val="BundesSerif Office"/>
        <family val="1"/>
      </rPr>
      <t xml:space="preserve">
Planungszeit: Pauschalwerte nach RWS (Kap. 9.2.2, Tab. 168)</t>
    </r>
  </si>
  <si>
    <r>
      <t xml:space="preserve">Welcher Anlagentyp wird geplant? </t>
    </r>
    <r>
      <rPr>
        <sz val="11"/>
        <color rgb="FF7030A0"/>
        <rFont val="BundesSerif Office"/>
        <family val="1"/>
      </rPr>
      <t>(Auswahlfeld »»»)</t>
    </r>
  </si>
  <si>
    <r>
      <t>Handelt es sich um einen Neubau oder einen Umbau bzw. eine Erweiterung?</t>
    </r>
    <r>
      <rPr>
        <sz val="11"/>
        <color rgb="FF7030A0"/>
        <rFont val="BundesSerif Office"/>
        <family val="1"/>
      </rPr>
      <t xml:space="preserve"> (Auswahlfeld »»»)</t>
    </r>
  </si>
  <si>
    <r>
      <t xml:space="preserve">Falls Umbau/Erweiterung: Welche Gesamtfläche [m²] liegt </t>
    </r>
    <r>
      <rPr>
        <u/>
        <sz val="11"/>
        <color theme="1"/>
        <rFont val="BundesSerif Office"/>
        <family val="1"/>
      </rPr>
      <t>im Bestand</t>
    </r>
    <r>
      <rPr>
        <sz val="11"/>
        <color theme="1"/>
        <rFont val="BundesSerif Office"/>
        <family val="1"/>
      </rPr>
      <t xml:space="preserve"> auf der Rastanlage vor?</t>
    </r>
  </si>
  <si>
    <r>
      <t xml:space="preserve">Falls Umbau/Erweiterung: Wie viele Lkw-Parkstände liegen </t>
    </r>
    <r>
      <rPr>
        <u/>
        <sz val="11"/>
        <color theme="1"/>
        <rFont val="BundesSerif Office"/>
        <family val="1"/>
      </rPr>
      <t>im Bestand</t>
    </r>
    <r>
      <rPr>
        <sz val="11"/>
        <color theme="1"/>
        <rFont val="BundesSerif Office"/>
        <family val="1"/>
      </rPr>
      <t xml:space="preserve"> auf der Rastanlage vor?</t>
    </r>
  </si>
  <si>
    <r>
      <t xml:space="preserve">Falls Umbau/Erweiterung: Wie viele Gebäude mit WC-Anlagen liegen </t>
    </r>
    <r>
      <rPr>
        <u/>
        <sz val="11"/>
        <color theme="1"/>
        <rFont val="BundesSerif Office"/>
        <family val="1"/>
      </rPr>
      <t>im Bestand</t>
    </r>
    <r>
      <rPr>
        <sz val="11"/>
        <color theme="1"/>
        <rFont val="BundesSerif Office"/>
        <family val="1"/>
      </rPr>
      <t xml:space="preserve"> auf der Rastanlage vor?</t>
    </r>
  </si>
  <si>
    <r>
      <t xml:space="preserve">Falls Umbau/Erweiterung: Liegt </t>
    </r>
    <r>
      <rPr>
        <u/>
        <sz val="11"/>
        <color theme="1"/>
        <rFont val="BundesSerif Office"/>
        <family val="1"/>
      </rPr>
      <t>im Bestand</t>
    </r>
    <r>
      <rPr>
        <sz val="11"/>
        <color theme="1"/>
        <rFont val="BundesSerif Office"/>
        <family val="1"/>
      </rPr>
      <t xml:space="preserve"> Telematisches Parken vor? </t>
    </r>
    <r>
      <rPr>
        <sz val="11"/>
        <color rgb="FF7030A0"/>
        <rFont val="BundesSerif Office"/>
        <family val="1"/>
      </rPr>
      <t>(Auswahlfeld »»»)</t>
    </r>
  </si>
  <si>
    <r>
      <t>Geben Sie die Planungsphase an, die betrachtetet und für die die Bewertung durchgeführt werden soll.</t>
    </r>
    <r>
      <rPr>
        <sz val="11"/>
        <color rgb="FF7030A0"/>
        <rFont val="BundesSerif Office"/>
        <family val="1"/>
      </rPr>
      <t xml:space="preserve"> (Auswahlfeld »»»)</t>
    </r>
  </si>
  <si>
    <r>
      <t>Ersetzt das Konzept eine bestehende Anlage?</t>
    </r>
    <r>
      <rPr>
        <sz val="11"/>
        <color rgb="FF7030A0"/>
        <rFont val="BundesSerif Office"/>
        <family val="1"/>
      </rPr>
      <t xml:space="preserve"> (Auswahlfeld »»»)</t>
    </r>
  </si>
  <si>
    <r>
      <t>Falls tatsächliche Werte für die Betriebskosten im Bestand und im Planfall (Konzept) vorliegen, können diese unter folgendem Link eingegeben werden.</t>
    </r>
    <r>
      <rPr>
        <sz val="11"/>
        <color rgb="FFFF0000"/>
        <rFont val="BundesSerif Office"/>
        <family val="1"/>
      </rPr>
      <t xml:space="preserve"> (Link »»»)</t>
    </r>
  </si>
  <si>
    <r>
      <t>Für welches Jahr werden die Kosten gemäß AKVS angegeben?</t>
    </r>
    <r>
      <rPr>
        <sz val="11"/>
        <color rgb="FF7030A0"/>
        <rFont val="BundesSerif Office"/>
        <family val="1"/>
      </rPr>
      <t xml:space="preserve"> 
(Auswahlfeld »»»)</t>
    </r>
  </si>
  <si>
    <r>
      <t>è</t>
    </r>
    <r>
      <rPr>
        <sz val="7"/>
        <color theme="1"/>
        <rFont val="BundesSerif Office"/>
        <family val="1"/>
      </rPr>
      <t xml:space="preserve"> </t>
    </r>
    <r>
      <rPr>
        <sz val="14"/>
        <color theme="1"/>
        <rFont val="BundesSerif Office"/>
        <family val="1"/>
      </rPr>
      <t>Das höhere Differenz-NKV gewinnt.</t>
    </r>
  </si>
  <si>
    <r>
      <t xml:space="preserve">Kompakt und Kolonne nutzengleich </t>
    </r>
    <r>
      <rPr>
        <b/>
        <sz val="11"/>
        <color theme="1"/>
        <rFont val="BundesSerif Office"/>
        <family val="1"/>
      </rPr>
      <t xml:space="preserve">und </t>
    </r>
    <r>
      <rPr>
        <sz val="11"/>
        <color theme="1"/>
        <rFont val="BundesSerif Office"/>
        <family val="1"/>
      </rPr>
      <t xml:space="preserve">
gegenüber Konventionell nutzenungleich
</t>
    </r>
  </si>
  <si>
    <r>
      <t xml:space="preserve">Bewertungsverfahren für Wirtschaftlichkeitsuntersuchungen von Rastanlagen mittels WU-Tool                   </t>
    </r>
    <r>
      <rPr>
        <sz val="12"/>
        <color theme="1"/>
        <rFont val="BundesSerif Office"/>
        <family val="1"/>
      </rPr>
      <t>Stand: 16.06.2026</t>
    </r>
  </si>
  <si>
    <t>Die blau hinterlegten Tabellenblätter des WU-Tool sind durch den Anwender entsprechend zu befüllen, die grauen Tabellenblätter dienen der Information.</t>
  </si>
  <si>
    <t>Die Ziffern in der Spalte "Zeilennummer Standortkonzept" verweisen auf die jeweiligen Zeilen im Tabellenblatt "Standortkonzept".</t>
  </si>
  <si>
    <t>Das Standortkonzept gliedert sich wie folgt:</t>
  </si>
  <si>
    <t>Zeile   16 - 39:  Eintragen der erforderlichen Angaben für bis zu 3 verschiedene Planungsvarianten (Konventioneller Ausbau - Kolonnenparken - Kompaktparken)</t>
  </si>
  <si>
    <t>Zeile   40 - 44:  Ermittlung des gesamtwirtschaftlichsten Ergebnisses</t>
  </si>
  <si>
    <t>Zeile   15:            Auswahl Planungsphase</t>
  </si>
  <si>
    <t>Zeile    01 - 14:  Angaben für die Bestandsanlage</t>
  </si>
  <si>
    <t>Für die Berechnung sind alle hellblauen und lilafarbenen Zellen (ggfs. Null eintragen) für die jeweilige Planungsvariante auszufüllen.</t>
  </si>
  <si>
    <t>(Beispiel: Sofern bei einer Bestandsanlage nur das Kolonnenparken hinzugefügt werden soll, wird nur die Planungsvariante Kolonnenparken ausgefüllt. Die Felder Konventioneller Ausbau und Kompaktparken bleiben dann unausgefüllt.)</t>
  </si>
  <si>
    <t>Die gelben Zellen können optional, sofern projektspezifische Daten vorliegen, ausgefüllt werden.</t>
  </si>
  <si>
    <t xml:space="preserve">Zeile 05 - 08: erforderliche Angaben aus dem Netzkonzept. </t>
  </si>
  <si>
    <t xml:space="preserve">                           ergänzen. Die erste Spalte (grün hinterlegt) ist die Summenspalte aus allen angegebenen Spalten.</t>
  </si>
  <si>
    <t>Zeile 28:         Link zum Tabellenblatt "Betriebskosten". Weiteres siehe unter "Betriebskosten".</t>
  </si>
  <si>
    <t xml:space="preserve">    Die Anzahl der geplanten Lkw-Parkstände beim telematischen Ausbau (Kolonnenparken - Kompaktparken) muss stets größer bzw. gleich der Anzahl der geplanten Lkw-Parkstände beim </t>
  </si>
  <si>
    <t xml:space="preserve">    konventionellen Ausbau sein.</t>
  </si>
  <si>
    <t xml:space="preserve">                          Nein: Eine Rastanlage existiert noch nicht und wird neu gebaut</t>
  </si>
  <si>
    <t>Zeile 27:         Ja:      Die Rastanlage wird durch ein telematisches Parkverfahren ersetzt oder erweitert oder die bestehende Rastanlage an anderer Stelle neugebaut</t>
  </si>
  <si>
    <t>siehe Eintrag im Quickstart zum "Standortkonzept"</t>
  </si>
  <si>
    <t>Link zu "Betriebskosten"</t>
  </si>
  <si>
    <t>Link</t>
  </si>
  <si>
    <t>Netzabschnitt der RA</t>
  </si>
  <si>
    <t>ggf. Nachbarnetzabschnitt</t>
  </si>
  <si>
    <t>Wie ist die Bezeichnung des BAB-Netzabschnittes?</t>
  </si>
  <si>
    <t>41a</t>
  </si>
  <si>
    <t>41b</t>
  </si>
  <si>
    <t xml:space="preserve">                           Die Länge des Netzabschnittes soll ca. 60 km betragen, ansonsten sind weitere anschließende Netzabschnitte sinnvoll auszuwählen und die Daten in den gelbmarkierten Zellen zu     </t>
  </si>
  <si>
    <t>Im "Quickstart" wird der Einstieg in das Bewertungsverfahren für Wirtschaftlichkeitsuntersuchungen von Rastanlagen mittels WU-Tool, kurz "WU-Tool", erleichtert.</t>
  </si>
  <si>
    <t>Das WU-Tool ermöglicht den Nachweis der Wirtschaftlichkeit von Rastanlagenplanungen.</t>
  </si>
  <si>
    <t>Link zum künftigen Einführungsschreiben einfügen</t>
  </si>
  <si>
    <t>(orangefarbene Zeilen für die Webseite  mit vorangestelltem "-" werden ausgeblendet)</t>
  </si>
  <si>
    <t xml:space="preserve">Zeile 41a:         Individuelle Ermittlung des Nutzen-Kosten-Verhältnis (NKV) jeder einzelnen Variante  </t>
  </si>
  <si>
    <t>Zeile 41b:         Ermittlung des Differenz-NKV: Das Differenz-NKV repräsentiert den Mehrwert der durch das telematische Parkverfahren zusätzlich geschaffenen Stellplätze.</t>
  </si>
  <si>
    <t>Zeile 42:        Ausgabe des gesamtwirtschaftlichsten Ergebnisses</t>
  </si>
  <si>
    <r>
      <t xml:space="preserve">Sollten projektbezogene Kosten vorliegen, können diese Werte optional in die gelben Zellen eingetragen werden. Sobald die </t>
    </r>
    <r>
      <rPr>
        <b/>
        <sz val="11"/>
        <color theme="1"/>
        <rFont val="BundesSerif Office"/>
        <family val="1"/>
      </rPr>
      <t>gelben</t>
    </r>
    <r>
      <rPr>
        <sz val="11"/>
        <color theme="1"/>
        <rFont val="BundesSerif Office"/>
        <family val="1"/>
      </rPr>
      <t xml:space="preserve"> </t>
    </r>
    <r>
      <rPr>
        <b/>
        <sz val="11"/>
        <color theme="1"/>
        <rFont val="BundesSerif Office"/>
        <family val="1"/>
      </rPr>
      <t>Wertepaare</t>
    </r>
    <r>
      <rPr>
        <sz val="11"/>
        <color theme="1"/>
        <rFont val="BundesSerif Office"/>
        <family val="1"/>
      </rPr>
      <t xml:space="preserve"> (Bestand und Konzept) eingetragen sind, werden diese bei den weiteren Berechnungen berücksichtigt. </t>
    </r>
  </si>
  <si>
    <r>
      <t>Im Tabellenblatt</t>
    </r>
    <r>
      <rPr>
        <b/>
        <sz val="11"/>
        <color theme="1"/>
        <rFont val="BundesSerif Office"/>
        <family val="1"/>
      </rPr>
      <t xml:space="preserve"> "Betriebskosten"</t>
    </r>
    <r>
      <rPr>
        <sz val="11"/>
        <color theme="1"/>
        <rFont val="BundesSerif Office"/>
        <family val="1"/>
      </rPr>
      <t xml:space="preserve"> sind Grundwerte hinterlegt und werden für die Berechnung automatisch herangezogen, sofern keine projektbezogene Kosten für die jeweils </t>
    </r>
  </si>
  <si>
    <t>betrachtete Rastanlage vorliegen.</t>
  </si>
  <si>
    <t>Unter "Tatsächliche Kosten" im Tabellenblatt "Betriebskosten" sind Kosten wie  z.B. für Müllentsorgung und Reinigung WC-Anlage als "Kosten Rastanlage" und Winterdienst, Kehrarbeiten, Grünpflege und Gehölzpflege als "Kosten Betriebsdienst" zu verstehen.</t>
  </si>
  <si>
    <t>(Tabellenblatt und orangefarbene Zeilen für die Webseite werden ausgeblendet)</t>
  </si>
  <si>
    <t>Eine Aktualisierung findet im regelmäßigen Turnus durch das FBA statt.</t>
  </si>
  <si>
    <t>Die Berechnungsergebnisse werden automatisch im Tabellenblatt eingetragen.</t>
  </si>
  <si>
    <t>Wie groß ist die Länge des Netzabschnittes?
(Die Gesamtlänge soll mindestens ca. 60 km betragen)</t>
  </si>
  <si>
    <t>Projekt-Infos</t>
  </si>
  <si>
    <t>(Dieses Tabellenblatt dient der Übersicht aller getroffenen Annahmen bzw. Festlegungen oder sonstiger Anmerkungen des Anwenders)</t>
  </si>
  <si>
    <t>Inhalte, Aufbau und Gestaltung sind formlos und frei wählbar.</t>
  </si>
  <si>
    <r>
      <t>Das Tabellenblatt</t>
    </r>
    <r>
      <rPr>
        <b/>
        <sz val="11"/>
        <color theme="1"/>
        <rFont val="BundesSerif Office"/>
        <family val="1"/>
      </rPr>
      <t xml:space="preserve"> "Projekt-Infos"</t>
    </r>
    <r>
      <rPr>
        <sz val="11"/>
        <color theme="1"/>
        <rFont val="BundesSerif Office"/>
        <family val="1"/>
      </rPr>
      <t xml:space="preserve"> dient der Übersicht aller getroffenen Annahmen bzw. Festlegungen oder sonstiger Anmerkungen des Anwenders.</t>
    </r>
  </si>
  <si>
    <t>2. Anzahl Parkstände</t>
  </si>
  <si>
    <t xml:space="preserve">    Telematikkomponenten sind in der Regel der Hauptgruppe (HGr) 9 zuzuordnen, sofern diese nicht einer anderen HGr zuordenbar sind, wie z.B. Schilderbrückenkonstruktionen</t>
  </si>
  <si>
    <t xml:space="preserve">     (sofern es sich dabei um ein  konstruktives Bauwerk handelt sind diese unter HGr 7 zu erfassen, Fundamentarbeiten sind unter HGr 5 oder Kabelverlegung unter HGr 8 zu erfassen).</t>
  </si>
  <si>
    <r>
      <t xml:space="preserve">Das Tabellenblatt </t>
    </r>
    <r>
      <rPr>
        <b/>
        <sz val="11"/>
        <color theme="5"/>
        <rFont val="BundesSerif Office"/>
        <family val="1"/>
      </rPr>
      <t>"Parameter"</t>
    </r>
    <r>
      <rPr>
        <sz val="11"/>
        <color theme="5"/>
        <rFont val="BundesSerif Office"/>
        <family val="1"/>
      </rPr>
      <t xml:space="preserve"> beinhaltet alle für die Berechnung erforderlichen Parameter.</t>
    </r>
  </si>
  <si>
    <r>
      <t xml:space="preserve">Das Tabellenblatt </t>
    </r>
    <r>
      <rPr>
        <b/>
        <sz val="11"/>
        <color theme="5"/>
        <rFont val="BundesSerif Office"/>
        <family val="1"/>
      </rPr>
      <t>"weitere Nutzen RWS"</t>
    </r>
    <r>
      <rPr>
        <sz val="11"/>
        <color theme="5"/>
        <rFont val="BundesSerif Office"/>
        <family val="1"/>
      </rPr>
      <t xml:space="preserve"> zeigt Berechnungen über Veränderungen der Fahrtzeit, Betriebs- und Kraftstoffkosten, Schadstoff- und Klimakosten durch Parksuchvorgänge nach "Richtlinie für Wirtschaftlichkeitsuntersuchungen an Straßen" (RWS) auf. </t>
    </r>
  </si>
  <si>
    <r>
      <t xml:space="preserve">Im Tabellenblatt </t>
    </r>
    <r>
      <rPr>
        <b/>
        <sz val="11"/>
        <color theme="5"/>
        <rFont val="BundesSerif Office"/>
        <family val="1"/>
      </rPr>
      <t>"Formeln"</t>
    </r>
    <r>
      <rPr>
        <sz val="11"/>
        <color theme="5"/>
        <rFont val="BundesSerif Office"/>
        <family val="1"/>
      </rPr>
      <t xml:space="preserve"> sind die wichtigsten Formeln und Tabellen informativ, die bei der Berechnung zur Anwendung kommen, abgebildet.</t>
    </r>
  </si>
  <si>
    <t>(orangefarbene Zeilen für die Webseite mit vorangestelltem "-" werden ausgeblendet)</t>
  </si>
  <si>
    <t>Für jedes Projekt bitte NEU herunterladen, da das System regelmäßig Updates erhält.</t>
  </si>
  <si>
    <r>
      <t xml:space="preserve">Das jeweils aktuelle WU-Tool ist auf der Webseite des FBA unter </t>
    </r>
    <r>
      <rPr>
        <sz val="11"/>
        <color rgb="FF00B0F0"/>
        <rFont val="BundesSerif Office"/>
        <family val="1"/>
      </rPr>
      <t>https://www.fba.bund.de/DE/Themen/Themen_node.html</t>
    </r>
    <r>
      <rPr>
        <sz val="11"/>
        <color theme="1"/>
        <rFont val="BundesSerif Office"/>
        <family val="1"/>
      </rPr>
      <t xml:space="preserve"> herunterzuladen.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</si>
</sst>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numFmt numFmtId="165" formatCode="#,##0.0"/>
    <numFmt numFmtId="166" formatCode="0.0"/>
    <numFmt numFmtId="167" formatCode="0.0%"/>
    <numFmt numFmtId="168" formatCode="#,##0.0000"/>
    <numFmt numFmtId="169" formatCode="#,##0.00\ _€"/>
    <numFmt numFmtId="170" formatCode="0.00000"/>
    <numFmt numFmtId="171" formatCode="#,##0.000"/>
    <numFmt numFmtId="172" formatCode="#,##0.000000"/>
    <numFmt numFmtId="173" formatCode="#,##0.00000000"/>
    <numFmt numFmtId="174" formatCode="#,##0.00000"/>
  </numFmts>
  <fonts count="60" x14ac:knownFonts="1">
    <font>
      <sz val="11"/>
      <color theme="1"/>
      <name val="Calibri"/>
      <family val="2"/>
      <scheme val="minor"/>
    </font>
    <font>
      <b/>
      <sz val="9"/>
      <color indexed="81"/>
      <name val="Segoe UI"/>
      <family val="2"/>
    </font>
    <font>
      <sz val="11"/>
      <color theme="1"/>
      <name val="Calibri"/>
      <family val="2"/>
      <scheme val="minor"/>
    </font>
    <font>
      <sz val="14"/>
      <color theme="1"/>
      <name val="Calibri"/>
      <family val="2"/>
      <scheme val="minor"/>
    </font>
    <font>
      <u/>
      <sz val="11"/>
      <color theme="10"/>
      <name val="Calibri"/>
      <family val="2"/>
      <scheme val="minor"/>
    </font>
    <font>
      <sz val="9"/>
      <color indexed="81"/>
      <name val="Segoe UI"/>
      <family val="2"/>
    </font>
    <font>
      <sz val="11"/>
      <color theme="1"/>
      <name val="BundesSerif Office"/>
      <family val="1"/>
    </font>
    <font>
      <b/>
      <sz val="20"/>
      <color theme="1"/>
      <name val="BundesSerif Office"/>
      <family val="1"/>
    </font>
    <font>
      <sz val="11"/>
      <color theme="2"/>
      <name val="BundesSerif Office"/>
      <family val="1"/>
    </font>
    <font>
      <sz val="10"/>
      <color theme="1"/>
      <name val="BundesSerif Office"/>
      <family val="1"/>
    </font>
    <font>
      <b/>
      <sz val="11"/>
      <color theme="1"/>
      <name val="BundesSerif Office"/>
      <family val="1"/>
    </font>
    <font>
      <i/>
      <sz val="11"/>
      <color theme="1"/>
      <name val="BundesSerif Office"/>
      <family val="1"/>
    </font>
    <font>
      <sz val="11"/>
      <color rgb="FFFF0000"/>
      <name val="BundesSerif Office"/>
      <family val="1"/>
    </font>
    <font>
      <sz val="11"/>
      <name val="BundesSerif Office"/>
      <family val="1"/>
    </font>
    <font>
      <sz val="11"/>
      <color theme="2" tint="-9.9978637043366805E-2"/>
      <name val="BundesSerif Office"/>
      <family val="1"/>
    </font>
    <font>
      <sz val="11"/>
      <color theme="5"/>
      <name val="BundesSerif Office"/>
      <family val="1"/>
    </font>
    <font>
      <i/>
      <sz val="11"/>
      <color theme="5"/>
      <name val="BundesSerif Office"/>
      <family val="1"/>
    </font>
    <font>
      <b/>
      <sz val="10"/>
      <color theme="1"/>
      <name val="BundesSerif Office"/>
      <family val="1"/>
    </font>
    <font>
      <sz val="14"/>
      <color theme="1"/>
      <name val="BundesSerif Office"/>
      <family val="1"/>
    </font>
    <font>
      <sz val="11"/>
      <color rgb="FF7030A0"/>
      <name val="BundesSerif Office"/>
      <family val="1"/>
    </font>
    <font>
      <b/>
      <sz val="12"/>
      <color theme="0"/>
      <name val="BundesSerif Office"/>
      <family val="1"/>
    </font>
    <font>
      <b/>
      <sz val="16"/>
      <color theme="1"/>
      <name val="BundesSerif Office"/>
      <family val="1"/>
    </font>
    <font>
      <sz val="12"/>
      <color theme="1"/>
      <name val="BundesSerif Office"/>
      <family val="1"/>
    </font>
    <font>
      <b/>
      <sz val="14"/>
      <color theme="1"/>
      <name val="BundesSerif Office"/>
      <family val="1"/>
    </font>
    <font>
      <b/>
      <sz val="12"/>
      <color theme="1"/>
      <name val="BundesSerif Office"/>
      <family val="1"/>
    </font>
    <font>
      <u/>
      <sz val="11"/>
      <color theme="10"/>
      <name val="BundesSerif Office"/>
      <family val="1"/>
    </font>
    <font>
      <sz val="12"/>
      <color rgb="FF002266"/>
      <name val="BundesSerif Office"/>
      <family val="1"/>
    </font>
    <font>
      <sz val="11"/>
      <color rgb="FF002266"/>
      <name val="BundesSerif Office"/>
      <family val="1"/>
    </font>
    <font>
      <b/>
      <sz val="12"/>
      <color rgb="FF002266"/>
      <name val="BundesSerif Office"/>
      <family val="1"/>
    </font>
    <font>
      <sz val="12"/>
      <color theme="2"/>
      <name val="BundesSerif Office"/>
      <family val="1"/>
    </font>
    <font>
      <b/>
      <sz val="11"/>
      <name val="BundesSerif Office"/>
      <family val="1"/>
    </font>
    <font>
      <i/>
      <sz val="11"/>
      <color rgb="FFFF0000"/>
      <name val="BundesSerif Office"/>
      <family val="1"/>
    </font>
    <font>
      <i/>
      <sz val="11"/>
      <color rgb="FF0070C0"/>
      <name val="BundesSerif Office"/>
      <family val="1"/>
    </font>
    <font>
      <i/>
      <sz val="11"/>
      <color theme="0"/>
      <name val="BundesSerif Office"/>
      <family val="1"/>
    </font>
    <font>
      <sz val="10"/>
      <name val="BundesSerif Office"/>
      <family val="1"/>
    </font>
    <font>
      <sz val="11"/>
      <color theme="0"/>
      <name val="BundesSerif Office"/>
      <family val="1"/>
    </font>
    <font>
      <b/>
      <sz val="11"/>
      <color rgb="FF002266"/>
      <name val="BundesSerif Office"/>
      <family val="1"/>
    </font>
    <font>
      <b/>
      <sz val="11"/>
      <color theme="2"/>
      <name val="BundesSerif Office"/>
      <family val="1"/>
    </font>
    <font>
      <b/>
      <sz val="11"/>
      <color theme="0"/>
      <name val="BundesSerif Office"/>
      <family val="1"/>
    </font>
    <font>
      <b/>
      <sz val="20"/>
      <color theme="0"/>
      <name val="BundesSerif Office"/>
      <family val="1"/>
    </font>
    <font>
      <b/>
      <sz val="20"/>
      <name val="BundesSerif Office"/>
      <family val="1"/>
    </font>
    <font>
      <b/>
      <sz val="16"/>
      <name val="BundesSerif Office"/>
      <family val="1"/>
    </font>
    <font>
      <b/>
      <sz val="16"/>
      <color rgb="FFFF0000"/>
      <name val="BundesSerif Office"/>
      <family val="1"/>
    </font>
    <font>
      <sz val="10"/>
      <color theme="2" tint="-9.9978637043366805E-2"/>
      <name val="BundesSerif Office"/>
      <family val="1"/>
    </font>
    <font>
      <strike/>
      <sz val="11"/>
      <color theme="1"/>
      <name val="BundesSerif Office"/>
      <family val="1"/>
    </font>
    <font>
      <b/>
      <sz val="11"/>
      <color theme="0" tint="-0.34998626667073579"/>
      <name val="BundesSerif Office"/>
      <family val="1"/>
    </font>
    <font>
      <sz val="11"/>
      <color theme="0" tint="-0.34998626667073579"/>
      <name val="BundesSerif Office"/>
      <family val="1"/>
    </font>
    <font>
      <sz val="20"/>
      <color theme="1"/>
      <name val="BundesSerif Office"/>
      <family val="1"/>
    </font>
    <font>
      <sz val="20"/>
      <color theme="2"/>
      <name val="BundesSerif Office"/>
      <family val="1"/>
    </font>
    <font>
      <sz val="11"/>
      <color theme="9" tint="-0.249977111117893"/>
      <name val="BundesSerif Office"/>
      <family val="1"/>
    </font>
    <font>
      <u/>
      <sz val="11"/>
      <color theme="1"/>
      <name val="BundesSerif Office"/>
      <family val="1"/>
    </font>
    <font>
      <b/>
      <sz val="11"/>
      <color rgb="FF0070C0"/>
      <name val="BundesSerif Office"/>
      <family val="1"/>
    </font>
    <font>
      <i/>
      <sz val="12"/>
      <color theme="1"/>
      <name val="BundesSerif Office"/>
      <family val="1"/>
    </font>
    <font>
      <sz val="7"/>
      <color theme="1"/>
      <name val="BundesSerif Office"/>
      <family val="1"/>
    </font>
    <font>
      <u/>
      <sz val="11"/>
      <color rgb="FF7030A0"/>
      <name val="Calibri"/>
      <family val="2"/>
      <scheme val="minor"/>
    </font>
    <font>
      <b/>
      <sz val="11"/>
      <color rgb="FF7030A0"/>
      <name val="BundesSerif Office"/>
      <family val="1"/>
    </font>
    <font>
      <strike/>
      <sz val="11"/>
      <color theme="1"/>
      <name val="BundesSans Office"/>
      <family val="2"/>
    </font>
    <font>
      <i/>
      <sz val="11"/>
      <color theme="1"/>
      <name val="Calibri"/>
      <family val="2"/>
      <scheme val="minor"/>
    </font>
    <font>
      <b/>
      <sz val="11"/>
      <color theme="5"/>
      <name val="BundesSerif Office"/>
      <family val="1"/>
    </font>
    <font>
      <sz val="11"/>
      <color rgb="FF00B0F0"/>
      <name val="BundesSerif Office"/>
      <family val="1"/>
    </font>
  </fonts>
  <fills count="24">
    <fill>
      <patternFill patternType="none"/>
    </fill>
    <fill>
      <patternFill patternType="gray125"/>
    </fill>
    <fill>
      <patternFill patternType="solid">
        <fgColor rgb="FF575755"/>
        <bgColor indexed="64"/>
      </patternFill>
    </fill>
    <fill>
      <patternFill patternType="solid">
        <fgColor rgb="FF68AF21"/>
        <bgColor indexed="64"/>
      </patternFill>
    </fill>
    <fill>
      <patternFill patternType="solid">
        <fgColor rgb="FF002266"/>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
      <patternFill patternType="solid">
        <fgColor theme="9"/>
        <bgColor indexed="64"/>
      </patternFill>
    </fill>
    <fill>
      <patternFill patternType="solid">
        <fgColor rgb="FF00B0F0"/>
        <bgColor indexed="64"/>
      </patternFill>
    </fill>
    <fill>
      <patternFill patternType="solid">
        <fgColor theme="0" tint="-0.14999847407452621"/>
        <bgColor indexed="64"/>
      </patternFill>
    </fill>
    <fill>
      <patternFill patternType="solid">
        <fgColor theme="8"/>
        <bgColor indexed="64"/>
      </patternFill>
    </fill>
    <fill>
      <patternFill patternType="solid">
        <fgColor rgb="FF002060"/>
        <bgColor indexed="64"/>
      </patternFill>
    </fill>
    <fill>
      <patternFill patternType="solid">
        <fgColor rgb="FFD9D9D9"/>
        <bgColor indexed="64"/>
      </patternFill>
    </fill>
    <fill>
      <patternFill patternType="solid">
        <fgColor theme="5"/>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diagonalUp="1" diagonalDown="1">
      <left style="thick">
        <color indexed="64"/>
      </left>
      <right style="thick">
        <color indexed="64"/>
      </right>
      <top style="thick">
        <color indexed="64"/>
      </top>
      <bottom style="thick">
        <color indexed="64"/>
      </bottom>
      <diagonal style="thick">
        <color indexed="64"/>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auto="1"/>
      </left>
      <right/>
      <top/>
      <bottom/>
      <diagonal/>
    </border>
    <border>
      <left style="thick">
        <color auto="1"/>
      </left>
      <right style="thick">
        <color indexed="64"/>
      </right>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style="thick">
        <color auto="1"/>
      </bottom>
      <diagonal/>
    </border>
    <border>
      <left style="thick">
        <color indexed="64"/>
      </left>
      <right style="thick">
        <color indexed="64"/>
      </right>
      <top/>
      <bottom style="thick">
        <color auto="1"/>
      </bottom>
      <diagonal/>
    </border>
    <border>
      <left style="thick">
        <color auto="1"/>
      </left>
      <right style="thick">
        <color auto="1"/>
      </right>
      <top style="thick">
        <color auto="1"/>
      </top>
      <bottom/>
      <diagonal/>
    </border>
    <border>
      <left style="thick">
        <color indexed="64"/>
      </left>
      <right style="thick">
        <color indexed="64"/>
      </right>
      <top style="thin">
        <color theme="0"/>
      </top>
      <bottom style="thin">
        <color theme="0"/>
      </bottom>
      <diagonal/>
    </border>
  </borders>
  <cellStyleXfs count="4">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3" fillId="0" borderId="2">
      <alignment horizontal="right" vertical="center"/>
      <protection locked="0" hidden="1"/>
    </xf>
  </cellStyleXfs>
  <cellXfs count="594">
    <xf numFmtId="0" fontId="0" fillId="0" borderId="0" xfId="0"/>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center" vertical="center"/>
    </xf>
    <xf numFmtId="0" fontId="6" fillId="0" borderId="0" xfId="0" applyFont="1"/>
    <xf numFmtId="0" fontId="6" fillId="0" borderId="0" xfId="0" applyFont="1" applyAlignment="1">
      <alignment vertical="center" wrapText="1" shrinkToFit="1"/>
    </xf>
    <xf numFmtId="0" fontId="6" fillId="0" borderId="0" xfId="0" applyFont="1" applyAlignment="1">
      <alignment horizontal="center" vertical="center" wrapText="1" shrinkToFit="1"/>
    </xf>
    <xf numFmtId="0" fontId="6" fillId="0" borderId="0" xfId="0" applyFont="1" applyAlignment="1">
      <alignment horizontal="center"/>
    </xf>
    <xf numFmtId="0" fontId="10" fillId="0" borderId="0" xfId="0" applyFont="1" applyAlignment="1">
      <alignment horizontal="left" vertical="center"/>
    </xf>
    <xf numFmtId="0" fontId="6" fillId="0" borderId="0" xfId="0" applyFont="1" applyAlignment="1"/>
    <xf numFmtId="0" fontId="11" fillId="0" borderId="0" xfId="0" applyFont="1" applyAlignment="1">
      <alignment vertical="center"/>
    </xf>
    <xf numFmtId="0" fontId="6" fillId="0" borderId="0" xfId="0" applyFont="1" applyAlignment="1" applyProtection="1">
      <alignment horizontal="centerContinuous" vertical="center"/>
      <protection hidden="1"/>
    </xf>
    <xf numFmtId="0" fontId="6" fillId="0" borderId="0" xfId="0" applyFont="1" applyProtection="1">
      <protection hidden="1"/>
    </xf>
    <xf numFmtId="0" fontId="6" fillId="0" borderId="0" xfId="0" applyFont="1" applyAlignment="1" applyProtection="1">
      <alignment horizontal="right" wrapText="1"/>
      <protection hidden="1"/>
    </xf>
    <xf numFmtId="0" fontId="6" fillId="0" borderId="25" xfId="0" applyFont="1" applyBorder="1" applyAlignment="1" applyProtection="1">
      <alignment wrapText="1"/>
      <protection hidden="1"/>
    </xf>
    <xf numFmtId="0" fontId="7" fillId="0" borderId="0" xfId="0" applyFont="1" applyAlignment="1">
      <alignment horizontal="left" vertical="center"/>
    </xf>
    <xf numFmtId="0" fontId="6" fillId="19" borderId="47" xfId="0" applyFont="1" applyFill="1" applyBorder="1" applyAlignment="1" applyProtection="1">
      <alignment horizontal="centerContinuous" vertical="center" wrapText="1"/>
      <protection hidden="1"/>
    </xf>
    <xf numFmtId="0" fontId="6" fillId="19" borderId="48" xfId="0" applyFont="1" applyFill="1" applyBorder="1" applyAlignment="1" applyProtection="1">
      <alignment horizontal="centerContinuous" vertical="center" wrapText="1"/>
      <protection hidden="1"/>
    </xf>
    <xf numFmtId="0" fontId="6" fillId="19" borderId="43" xfId="0" applyFont="1" applyFill="1" applyBorder="1" applyAlignment="1" applyProtection="1">
      <alignment horizontal="centerContinuous" vertical="center" wrapText="1"/>
      <protection hidden="1"/>
    </xf>
    <xf numFmtId="0" fontId="6" fillId="18" borderId="47" xfId="0" applyFont="1" applyFill="1" applyBorder="1" applyAlignment="1" applyProtection="1">
      <alignment vertical="top" wrapText="1"/>
      <protection hidden="1"/>
    </xf>
    <xf numFmtId="0" fontId="6" fillId="0" borderId="46" xfId="0" applyFont="1" applyBorder="1" applyAlignment="1" applyProtection="1">
      <alignment wrapText="1"/>
      <protection hidden="1"/>
    </xf>
    <xf numFmtId="0" fontId="6" fillId="19" borderId="48" xfId="0" applyFont="1" applyFill="1" applyBorder="1" applyAlignment="1" applyProtection="1">
      <alignment horizontal="centerContinuous" vertical="center"/>
      <protection hidden="1"/>
    </xf>
    <xf numFmtId="0" fontId="6" fillId="0" borderId="45" xfId="0" applyFont="1" applyBorder="1" applyAlignment="1" applyProtection="1">
      <alignment wrapText="1"/>
      <protection hidden="1"/>
    </xf>
    <xf numFmtId="0" fontId="6" fillId="0" borderId="44" xfId="0" applyFont="1" applyBorder="1" applyProtection="1">
      <protection hidden="1"/>
    </xf>
    <xf numFmtId="0" fontId="15" fillId="0" borderId="25" xfId="0" applyFont="1" applyBorder="1" applyAlignment="1" applyProtection="1">
      <alignment wrapText="1"/>
      <protection hidden="1"/>
    </xf>
    <xf numFmtId="0" fontId="6" fillId="0" borderId="45" xfId="0" applyFont="1" applyBorder="1" applyAlignment="1">
      <alignment wrapText="1"/>
    </xf>
    <xf numFmtId="0" fontId="6" fillId="0" borderId="25" xfId="0" applyFont="1" applyBorder="1" applyAlignment="1"/>
    <xf numFmtId="0" fontId="6" fillId="0" borderId="46" xfId="0" applyFont="1" applyBorder="1" applyAlignment="1"/>
    <xf numFmtId="0" fontId="6" fillId="0" borderId="46" xfId="0" applyFont="1" applyBorder="1"/>
    <xf numFmtId="0" fontId="6" fillId="0" borderId="45" xfId="0" applyFont="1" applyBorder="1"/>
    <xf numFmtId="0" fontId="6" fillId="18" borderId="48" xfId="0" applyFont="1" applyFill="1" applyBorder="1" applyAlignment="1" applyProtection="1">
      <alignment vertical="top" wrapText="1"/>
      <protection hidden="1"/>
    </xf>
    <xf numFmtId="0" fontId="6" fillId="18" borderId="43" xfId="0" applyFont="1" applyFill="1" applyBorder="1" applyAlignment="1" applyProtection="1">
      <alignment vertical="top" wrapText="1"/>
      <protection hidden="1"/>
    </xf>
    <xf numFmtId="0" fontId="6" fillId="18" borderId="43" xfId="0" applyFont="1" applyFill="1" applyBorder="1" applyAlignment="1" applyProtection="1">
      <alignment horizontal="center" vertical="center" wrapText="1"/>
      <protection hidden="1"/>
    </xf>
    <xf numFmtId="0" fontId="6" fillId="0" borderId="48" xfId="0" applyFont="1" applyBorder="1"/>
    <xf numFmtId="0" fontId="6" fillId="0" borderId="43" xfId="0" applyFont="1" applyBorder="1"/>
    <xf numFmtId="0" fontId="6" fillId="0" borderId="47" xfId="0" applyFont="1" applyBorder="1"/>
    <xf numFmtId="0" fontId="10" fillId="18" borderId="43" xfId="0" applyFont="1" applyFill="1" applyBorder="1" applyAlignment="1" applyProtection="1">
      <alignment horizontal="center" vertical="center" wrapText="1"/>
      <protection hidden="1"/>
    </xf>
    <xf numFmtId="0" fontId="6" fillId="19" borderId="43" xfId="0" applyFont="1" applyFill="1" applyBorder="1" applyAlignment="1" applyProtection="1">
      <alignment horizontal="centerContinuous" vertical="center"/>
      <protection hidden="1"/>
    </xf>
    <xf numFmtId="0" fontId="6" fillId="23" borderId="47" xfId="0" applyFont="1" applyFill="1" applyBorder="1" applyAlignment="1" applyProtection="1">
      <alignment horizontal="center" vertical="center" wrapText="1"/>
      <protection hidden="1"/>
    </xf>
    <xf numFmtId="0" fontId="6" fillId="23" borderId="47" xfId="0" applyFont="1" applyFill="1" applyBorder="1" applyAlignment="1" applyProtection="1">
      <alignment horizontal="centerContinuous" vertical="center"/>
      <protection hidden="1"/>
    </xf>
    <xf numFmtId="0" fontId="10" fillId="19" borderId="43" xfId="0" applyFont="1" applyFill="1" applyBorder="1" applyAlignment="1" applyProtection="1">
      <alignment horizontal="centerContinuous" vertical="center" wrapText="1"/>
      <protection hidden="1"/>
    </xf>
    <xf numFmtId="0" fontId="6" fillId="0" borderId="25" xfId="0" applyFont="1" applyBorder="1"/>
    <xf numFmtId="0" fontId="6" fillId="18" borderId="48" xfId="0" applyFont="1" applyFill="1" applyBorder="1" applyAlignment="1" applyProtection="1">
      <alignment horizontal="centerContinuous" vertical="center" wrapText="1"/>
      <protection hidden="1"/>
    </xf>
    <xf numFmtId="0" fontId="6" fillId="18" borderId="43" xfId="0" applyFont="1" applyFill="1" applyBorder="1" applyAlignment="1" applyProtection="1">
      <alignment horizontal="centerContinuous" vertical="center" wrapText="1"/>
      <protection hidden="1"/>
    </xf>
    <xf numFmtId="0" fontId="6" fillId="0" borderId="25" xfId="0" applyFont="1" applyBorder="1" applyAlignment="1">
      <alignment wrapText="1"/>
    </xf>
    <xf numFmtId="0" fontId="6" fillId="0" borderId="46" xfId="0" applyFont="1" applyBorder="1" applyAlignment="1">
      <alignment wrapText="1"/>
    </xf>
    <xf numFmtId="0" fontId="10" fillId="0" borderId="25" xfId="0" applyFont="1" applyBorder="1" applyAlignment="1" applyProtection="1">
      <alignment wrapText="1"/>
      <protection hidden="1"/>
    </xf>
    <xf numFmtId="0" fontId="6" fillId="18" borderId="47" xfId="0" applyFont="1" applyFill="1" applyBorder="1" applyAlignment="1" applyProtection="1">
      <alignment horizontal="centerContinuous" vertical="center" wrapText="1"/>
      <protection hidden="1"/>
    </xf>
    <xf numFmtId="0" fontId="10" fillId="18" borderId="43" xfId="0" applyFont="1" applyFill="1" applyBorder="1" applyAlignment="1" applyProtection="1">
      <alignment horizontal="centerContinuous" vertical="center" wrapText="1"/>
      <protection hidden="1"/>
    </xf>
    <xf numFmtId="0" fontId="10" fillId="23" borderId="48" xfId="0" applyFont="1" applyFill="1" applyBorder="1" applyAlignment="1" applyProtection="1">
      <alignment horizontal="center" vertical="center" wrapText="1"/>
      <protection hidden="1"/>
    </xf>
    <xf numFmtId="0" fontId="10" fillId="23" borderId="48" xfId="0" applyFont="1" applyFill="1" applyBorder="1" applyAlignment="1" applyProtection="1">
      <alignment horizontal="centerContinuous" vertical="center" wrapText="1"/>
      <protection hidden="1"/>
    </xf>
    <xf numFmtId="0" fontId="10" fillId="23" borderId="43" xfId="0" applyFont="1" applyFill="1" applyBorder="1" applyAlignment="1" applyProtection="1">
      <alignment horizontal="centerContinuous" vertical="center" wrapText="1"/>
      <protection hidden="1"/>
    </xf>
    <xf numFmtId="0" fontId="10" fillId="23" borderId="43" xfId="0" applyFont="1" applyFill="1" applyBorder="1" applyAlignment="1" applyProtection="1">
      <alignment horizontal="center" vertical="center" wrapText="1"/>
      <protection hidden="1"/>
    </xf>
    <xf numFmtId="0" fontId="10" fillId="23" borderId="47" xfId="0" applyFont="1" applyFill="1" applyBorder="1" applyAlignment="1" applyProtection="1">
      <alignment horizontal="center" vertical="center" wrapText="1"/>
      <protection hidden="1"/>
    </xf>
    <xf numFmtId="0" fontId="16" fillId="0" borderId="25" xfId="0" applyFont="1" applyBorder="1" applyAlignment="1" applyProtection="1">
      <alignment wrapText="1"/>
      <protection hidden="1"/>
    </xf>
    <xf numFmtId="0" fontId="7" fillId="0" borderId="0" xfId="0" applyFont="1" applyAlignment="1">
      <alignment vertical="center"/>
    </xf>
    <xf numFmtId="0" fontId="7" fillId="0" borderId="0" xfId="0" applyFont="1" applyAlignment="1">
      <alignment horizontal="centerContinuous" vertical="center"/>
    </xf>
    <xf numFmtId="0" fontId="6" fillId="0" borderId="0" xfId="0" applyFont="1" applyAlignment="1">
      <alignment horizontal="centerContinuous" vertical="center"/>
    </xf>
    <xf numFmtId="0" fontId="6" fillId="0" borderId="0" xfId="0" applyFont="1" applyAlignment="1">
      <alignment horizontal="left" vertical="center" wrapText="1" shrinkToFit="1"/>
    </xf>
    <xf numFmtId="0" fontId="11"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Continuous" vertical="center" wrapText="1" shrinkToFit="1"/>
    </xf>
    <xf numFmtId="0" fontId="9" fillId="0" borderId="0" xfId="0" applyFont="1" applyAlignment="1">
      <alignment horizontal="left" vertical="center"/>
    </xf>
    <xf numFmtId="0" fontId="7" fillId="0" borderId="0" xfId="0" applyFont="1" applyAlignment="1" applyProtection="1">
      <alignment horizontal="left" vertical="center"/>
      <protection hidden="1"/>
    </xf>
    <xf numFmtId="0" fontId="6" fillId="0" borderId="5" xfId="0" applyFont="1" applyBorder="1" applyAlignment="1">
      <alignment horizontal="centerContinuous" vertical="center" wrapText="1"/>
    </xf>
    <xf numFmtId="0" fontId="6" fillId="0" borderId="6" xfId="0" applyFont="1" applyBorder="1" applyAlignment="1">
      <alignment horizontal="centerContinuous" vertical="center"/>
    </xf>
    <xf numFmtId="0" fontId="6" fillId="0" borderId="2" xfId="0" applyFont="1" applyBorder="1" applyAlignment="1">
      <alignment horizontal="centerContinuous" vertical="center" wrapText="1"/>
    </xf>
    <xf numFmtId="0" fontId="6" fillId="0" borderId="0" xfId="0" applyFont="1" applyFill="1" applyBorder="1" applyAlignment="1">
      <alignment horizontal="center" vertical="center"/>
    </xf>
    <xf numFmtId="0" fontId="6" fillId="0" borderId="0" xfId="0" applyFont="1" applyBorder="1" applyAlignment="1">
      <alignment vertical="center"/>
    </xf>
    <xf numFmtId="0" fontId="21" fillId="0" borderId="0" xfId="0" applyFont="1" applyFill="1" applyAlignment="1">
      <alignment horizontal="center" vertical="center"/>
    </xf>
    <xf numFmtId="0" fontId="22" fillId="0" borderId="0" xfId="0" applyFont="1" applyFill="1" applyBorder="1" applyAlignment="1">
      <alignment horizontal="right" vertical="center"/>
    </xf>
    <xf numFmtId="0" fontId="6" fillId="0" borderId="0" xfId="0" applyFont="1" applyAlignment="1" applyProtection="1">
      <alignment vertical="center"/>
      <protection hidden="1"/>
    </xf>
    <xf numFmtId="0" fontId="22" fillId="0" borderId="0" xfId="0" applyFont="1" applyFill="1" applyBorder="1" applyAlignment="1" applyProtection="1">
      <alignment horizontal="right" vertical="center"/>
    </xf>
    <xf numFmtId="3" fontId="22" fillId="0" borderId="0" xfId="0" applyNumberFormat="1" applyFont="1" applyFill="1" applyBorder="1" applyAlignment="1" applyProtection="1">
      <alignment horizontal="right" vertical="center"/>
    </xf>
    <xf numFmtId="164" fontId="22" fillId="0" borderId="0" xfId="0" applyNumberFormat="1" applyFont="1" applyAlignment="1">
      <alignment horizontal="left" vertical="center" wrapText="1"/>
    </xf>
    <xf numFmtId="0" fontId="6" fillId="0" borderId="0" xfId="0" applyFont="1" applyAlignment="1" applyProtection="1">
      <alignment horizontal="center" vertical="center" wrapText="1"/>
      <protection hidden="1"/>
    </xf>
    <xf numFmtId="0" fontId="6" fillId="0" borderId="0" xfId="0" applyFont="1" applyAlignment="1" applyProtection="1">
      <alignment vertical="center"/>
    </xf>
    <xf numFmtId="0" fontId="22" fillId="0" borderId="7" xfId="0" applyFont="1" applyBorder="1" applyAlignment="1" applyProtection="1">
      <alignment horizontal="right" vertical="center"/>
    </xf>
    <xf numFmtId="3" fontId="22" fillId="0" borderId="2" xfId="0" applyNumberFormat="1" applyFont="1" applyBorder="1" applyAlignment="1" applyProtection="1">
      <alignment horizontal="right" vertical="center"/>
    </xf>
    <xf numFmtId="0" fontId="22" fillId="0" borderId="13" xfId="0" applyFont="1" applyBorder="1" applyAlignment="1" applyProtection="1">
      <alignment vertical="center"/>
    </xf>
    <xf numFmtId="3" fontId="22" fillId="0" borderId="2" xfId="0" applyNumberFormat="1" applyFont="1" applyBorder="1" applyAlignment="1" applyProtection="1">
      <alignment vertical="center"/>
    </xf>
    <xf numFmtId="1" fontId="22" fillId="0" borderId="2" xfId="0" applyNumberFormat="1" applyFont="1" applyBorder="1" applyAlignment="1" applyProtection="1">
      <alignment vertical="center"/>
    </xf>
    <xf numFmtId="1" fontId="22" fillId="0" borderId="2" xfId="0" applyNumberFormat="1" applyFont="1" applyBorder="1" applyAlignment="1" applyProtection="1">
      <alignment horizontal="right" vertical="center"/>
    </xf>
    <xf numFmtId="0" fontId="22" fillId="0" borderId="13" xfId="0" applyFont="1" applyBorder="1" applyAlignment="1" applyProtection="1">
      <alignment horizontal="right" vertical="center"/>
    </xf>
    <xf numFmtId="0" fontId="22" fillId="0" borderId="2" xfId="0" applyFont="1" applyBorder="1" applyAlignment="1" applyProtection="1">
      <alignment horizontal="right" vertical="center"/>
    </xf>
    <xf numFmtId="164" fontId="25" fillId="0" borderId="7" xfId="2" applyNumberFormat="1" applyFont="1" applyBorder="1" applyAlignment="1" applyProtection="1">
      <alignment horizontal="center" vertical="center" wrapText="1"/>
    </xf>
    <xf numFmtId="164" fontId="25" fillId="0" borderId="6" xfId="2" applyNumberFormat="1" applyFont="1" applyBorder="1" applyAlignment="1" applyProtection="1">
      <alignment horizontal="center" vertical="center" wrapText="1"/>
    </xf>
    <xf numFmtId="3" fontId="6" fillId="0" borderId="0" xfId="0" applyNumberFormat="1"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center" vertical="center"/>
    </xf>
    <xf numFmtId="0" fontId="22" fillId="0" borderId="2" xfId="0" applyFont="1" applyBorder="1" applyAlignment="1" applyProtection="1">
      <alignment vertical="center"/>
    </xf>
    <xf numFmtId="3" fontId="26" fillId="5" borderId="2" xfId="0" applyNumberFormat="1" applyFont="1" applyFill="1" applyBorder="1" applyAlignment="1" applyProtection="1">
      <alignment vertical="center"/>
    </xf>
    <xf numFmtId="174" fontId="26" fillId="5" borderId="2" xfId="0" applyNumberFormat="1" applyFont="1" applyFill="1" applyBorder="1" applyAlignment="1" applyProtection="1">
      <alignment vertical="center"/>
    </xf>
    <xf numFmtId="0" fontId="8" fillId="0" borderId="0" xfId="0" applyFont="1" applyFill="1" applyAlignment="1">
      <alignment vertical="center"/>
    </xf>
    <xf numFmtId="3" fontId="26" fillId="5" borderId="7" xfId="0" applyNumberFormat="1" applyFont="1" applyFill="1" applyBorder="1" applyAlignment="1" applyProtection="1">
      <alignment vertical="center"/>
    </xf>
    <xf numFmtId="0" fontId="22" fillId="0" borderId="0" xfId="0" applyFont="1" applyBorder="1" applyAlignment="1" applyProtection="1">
      <alignment horizontal="right" vertical="center"/>
    </xf>
    <xf numFmtId="3" fontId="26" fillId="5" borderId="4" xfId="0" applyNumberFormat="1" applyFont="1" applyFill="1" applyBorder="1" applyAlignment="1" applyProtection="1">
      <alignment horizontal="right" vertical="center"/>
    </xf>
    <xf numFmtId="3" fontId="26" fillId="5" borderId="2" xfId="0" applyNumberFormat="1" applyFont="1" applyFill="1" applyBorder="1" applyAlignment="1" applyProtection="1">
      <alignment horizontal="right" vertical="center"/>
    </xf>
    <xf numFmtId="0" fontId="6" fillId="0" borderId="0" xfId="0" applyFont="1" applyAlignment="1" applyProtection="1">
      <alignment horizontal="right" vertical="center"/>
      <protection hidden="1"/>
    </xf>
    <xf numFmtId="0" fontId="6" fillId="0" borderId="0" xfId="0" applyFont="1" applyAlignment="1" applyProtection="1">
      <alignment horizontal="right" vertical="center"/>
    </xf>
    <xf numFmtId="3" fontId="26" fillId="5" borderId="0" xfId="0" applyNumberFormat="1" applyFont="1" applyFill="1" applyBorder="1" applyAlignment="1" applyProtection="1">
      <alignment horizontal="right" vertical="center"/>
    </xf>
    <xf numFmtId="0" fontId="27" fillId="0" borderId="0" xfId="0" applyFont="1" applyAlignment="1">
      <alignment vertical="center"/>
    </xf>
    <xf numFmtId="0" fontId="26" fillId="0" borderId="0" xfId="0" applyFont="1" applyBorder="1" applyAlignment="1" applyProtection="1">
      <alignment horizontal="right" vertical="center"/>
    </xf>
    <xf numFmtId="0" fontId="12" fillId="0" borderId="0" xfId="0" applyFont="1" applyFill="1" applyAlignment="1">
      <alignment vertical="center"/>
    </xf>
    <xf numFmtId="0" fontId="26" fillId="0" borderId="0" xfId="0" applyFont="1" applyAlignment="1" applyProtection="1">
      <alignment horizontal="right" vertical="center"/>
    </xf>
    <xf numFmtId="2" fontId="28" fillId="5" borderId="2" xfId="0" applyNumberFormat="1" applyFont="1" applyFill="1" applyBorder="1" applyAlignment="1" applyProtection="1">
      <alignment horizontal="right" vertical="center"/>
    </xf>
    <xf numFmtId="2" fontId="26" fillId="5" borderId="2" xfId="0" applyNumberFormat="1" applyFont="1" applyFill="1" applyBorder="1" applyAlignment="1" applyProtection="1">
      <alignment horizontal="center" vertical="center"/>
    </xf>
    <xf numFmtId="0" fontId="24" fillId="0" borderId="0" xfId="0" applyFont="1" applyAlignment="1" applyProtection="1">
      <alignment vertical="center" wrapText="1"/>
    </xf>
    <xf numFmtId="0" fontId="29" fillId="0" borderId="0" xfId="0" applyFont="1" applyBorder="1" applyAlignment="1">
      <alignment horizontal="right" vertical="center"/>
    </xf>
    <xf numFmtId="1" fontId="29" fillId="0" borderId="0" xfId="0" applyNumberFormat="1" applyFont="1" applyBorder="1" applyAlignment="1">
      <alignment horizontal="left" vertical="center"/>
    </xf>
    <xf numFmtId="0" fontId="30" fillId="0" borderId="0" xfId="0" applyFont="1" applyFill="1" applyBorder="1" applyAlignment="1">
      <alignment horizontal="center" vertical="center"/>
    </xf>
    <xf numFmtId="4" fontId="30" fillId="0" borderId="0" xfId="0" applyNumberFormat="1" applyFont="1" applyFill="1" applyBorder="1" applyAlignment="1" applyProtection="1">
      <alignment horizontal="center" vertical="center"/>
      <protection hidden="1"/>
    </xf>
    <xf numFmtId="4" fontId="30" fillId="0" borderId="0" xfId="0" applyNumberFormat="1" applyFont="1" applyFill="1" applyBorder="1" applyAlignment="1" applyProtection="1">
      <alignment horizontal="center" vertical="center" wrapText="1" shrinkToFit="1"/>
      <protection hidden="1"/>
    </xf>
    <xf numFmtId="0" fontId="10" fillId="0" borderId="0" xfId="0" applyFont="1" applyAlignment="1" applyProtection="1">
      <alignment vertical="center" wrapText="1"/>
    </xf>
    <xf numFmtId="0" fontId="8" fillId="0" borderId="0" xfId="0" applyFont="1" applyBorder="1" applyAlignment="1">
      <alignment horizontal="right" vertical="center"/>
    </xf>
    <xf numFmtId="1" fontId="8" fillId="0" borderId="0" xfId="0" applyNumberFormat="1" applyFont="1" applyBorder="1" applyAlignment="1">
      <alignment horizontal="left" vertical="center"/>
    </xf>
    <xf numFmtId="0" fontId="31" fillId="0" borderId="0" xfId="0" applyFont="1" applyFill="1" applyAlignment="1" applyProtection="1">
      <alignment vertical="center"/>
    </xf>
    <xf numFmtId="0" fontId="32" fillId="0" borderId="0" xfId="0" applyFont="1" applyFill="1" applyBorder="1" applyAlignment="1">
      <alignment horizontal="center" vertical="center"/>
    </xf>
    <xf numFmtId="2" fontId="32" fillId="0" borderId="0" xfId="0" applyNumberFormat="1" applyFont="1" applyFill="1" applyAlignment="1" applyProtection="1">
      <alignment vertical="center"/>
      <protection hidden="1"/>
    </xf>
    <xf numFmtId="0" fontId="32" fillId="0" borderId="0" xfId="0" applyFont="1" applyFill="1" applyBorder="1" applyAlignment="1" applyProtection="1">
      <alignment horizontal="center" vertical="center"/>
      <protection hidden="1"/>
    </xf>
    <xf numFmtId="0" fontId="33" fillId="0" borderId="0" xfId="0" applyFont="1" applyFill="1" applyAlignment="1">
      <alignment vertical="center"/>
    </xf>
    <xf numFmtId="0" fontId="13" fillId="20" borderId="22" xfId="0" applyFont="1" applyFill="1" applyBorder="1" applyAlignment="1">
      <alignment horizontal="centerContinuous" vertical="center"/>
    </xf>
    <xf numFmtId="0" fontId="13" fillId="20" borderId="23" xfId="0" applyFont="1" applyFill="1" applyBorder="1" applyAlignment="1">
      <alignment horizontal="centerContinuous" vertical="center"/>
    </xf>
    <xf numFmtId="0" fontId="35" fillId="0" borderId="0" xfId="0" applyFont="1" applyAlignment="1">
      <alignment vertical="center"/>
    </xf>
    <xf numFmtId="0" fontId="13" fillId="0" borderId="0" xfId="0" applyFont="1" applyAlignment="1">
      <alignment vertical="center"/>
    </xf>
    <xf numFmtId="2" fontId="32" fillId="0" borderId="0" xfId="0" applyNumberFormat="1" applyFont="1" applyFill="1" applyAlignment="1">
      <alignment vertical="center"/>
    </xf>
    <xf numFmtId="0" fontId="13" fillId="0" borderId="0" xfId="0" applyFont="1" applyFill="1" applyAlignment="1">
      <alignment vertical="center"/>
    </xf>
    <xf numFmtId="0" fontId="6" fillId="0" borderId="0" xfId="0" applyFont="1" applyFill="1" applyAlignment="1">
      <alignment vertical="center"/>
    </xf>
    <xf numFmtId="0" fontId="6" fillId="7" borderId="0" xfId="0" applyFont="1" applyFill="1" applyAlignment="1">
      <alignment vertical="center"/>
    </xf>
    <xf numFmtId="0" fontId="10" fillId="9" borderId="14" xfId="0" applyFont="1" applyFill="1" applyBorder="1" applyAlignment="1">
      <alignment horizontal="centerContinuous" vertical="center"/>
    </xf>
    <xf numFmtId="0" fontId="10" fillId="9" borderId="0" xfId="0" applyFont="1" applyFill="1" applyAlignment="1">
      <alignment horizontal="centerContinuous" vertical="center"/>
    </xf>
    <xf numFmtId="0" fontId="10" fillId="9" borderId="10" xfId="0" applyFont="1" applyFill="1" applyBorder="1" applyAlignment="1">
      <alignment horizontal="centerContinuous" vertical="center"/>
    </xf>
    <xf numFmtId="0" fontId="10" fillId="7" borderId="0" xfId="0" applyFont="1" applyFill="1" applyAlignment="1">
      <alignment vertical="center"/>
    </xf>
    <xf numFmtId="0" fontId="10" fillId="0" borderId="0" xfId="0" applyFont="1" applyAlignment="1">
      <alignment vertical="center"/>
    </xf>
    <xf numFmtId="0" fontId="10" fillId="9" borderId="8" xfId="0" applyFont="1" applyFill="1" applyBorder="1" applyAlignment="1">
      <alignment horizontal="centerContinuous" vertical="center"/>
    </xf>
    <xf numFmtId="0" fontId="10" fillId="9" borderId="13" xfId="0" applyFont="1" applyFill="1" applyBorder="1" applyAlignment="1">
      <alignment horizontal="centerContinuous" vertical="center"/>
    </xf>
    <xf numFmtId="0" fontId="10" fillId="9" borderId="15" xfId="0" applyFont="1" applyFill="1" applyBorder="1" applyAlignment="1">
      <alignment horizontal="centerContinuous" vertical="center"/>
    </xf>
    <xf numFmtId="0" fontId="6" fillId="7" borderId="0" xfId="0" applyFont="1" applyFill="1" applyAlignment="1">
      <alignment horizontal="center" vertical="center"/>
    </xf>
    <xf numFmtId="0" fontId="10" fillId="7" borderId="0" xfId="0" applyFont="1" applyFill="1" applyAlignment="1">
      <alignment horizontal="center" vertical="center"/>
    </xf>
    <xf numFmtId="0" fontId="10" fillId="7" borderId="14" xfId="0" applyFont="1" applyFill="1" applyBorder="1" applyAlignment="1">
      <alignment horizontal="center" vertical="center"/>
    </xf>
    <xf numFmtId="0" fontId="10" fillId="7" borderId="10" xfId="0" applyFont="1" applyFill="1" applyBorder="1" applyAlignment="1">
      <alignment horizontal="center" vertical="center"/>
    </xf>
    <xf numFmtId="0" fontId="6" fillId="7" borderId="14" xfId="0" applyFont="1" applyFill="1" applyBorder="1" applyAlignment="1">
      <alignment vertical="center"/>
    </xf>
    <xf numFmtId="0" fontId="6" fillId="7" borderId="10" xfId="0" applyFont="1" applyFill="1" applyBorder="1" applyAlignment="1">
      <alignment vertical="center"/>
    </xf>
    <xf numFmtId="0" fontId="6" fillId="7" borderId="2" xfId="0" applyFont="1" applyFill="1" applyBorder="1" applyAlignment="1">
      <alignment vertical="center"/>
    </xf>
    <xf numFmtId="0" fontId="6" fillId="7" borderId="2" xfId="0" applyFont="1" applyFill="1" applyBorder="1" applyAlignment="1">
      <alignment horizontal="center" vertical="center"/>
    </xf>
    <xf numFmtId="3" fontId="27" fillId="5" borderId="2" xfId="0" applyNumberFormat="1" applyFont="1" applyFill="1" applyBorder="1" applyAlignment="1">
      <alignment vertical="center"/>
    </xf>
    <xf numFmtId="3" fontId="6" fillId="10" borderId="2" xfId="0" applyNumberFormat="1" applyFont="1" applyFill="1" applyBorder="1" applyAlignment="1" applyProtection="1">
      <alignment vertical="center"/>
      <protection locked="0"/>
    </xf>
    <xf numFmtId="3" fontId="27" fillId="0" borderId="2" xfId="0" applyNumberFormat="1" applyFont="1" applyFill="1" applyBorder="1" applyAlignment="1">
      <alignment vertical="center"/>
    </xf>
    <xf numFmtId="3" fontId="6" fillId="7" borderId="14" xfId="0" applyNumberFormat="1" applyFont="1" applyFill="1" applyBorder="1" applyAlignment="1">
      <alignment vertical="center"/>
    </xf>
    <xf numFmtId="3" fontId="6" fillId="7" borderId="0" xfId="0" applyNumberFormat="1" applyFont="1" applyFill="1" applyAlignment="1">
      <alignment vertical="center"/>
    </xf>
    <xf numFmtId="3" fontId="6" fillId="7" borderId="10" xfId="0" applyNumberFormat="1" applyFont="1" applyFill="1" applyBorder="1" applyAlignment="1">
      <alignment vertical="center"/>
    </xf>
    <xf numFmtId="3" fontId="27" fillId="5" borderId="2" xfId="0" applyNumberFormat="1" applyFont="1" applyFill="1" applyBorder="1" applyAlignment="1">
      <alignment horizontal="right" vertical="center"/>
    </xf>
    <xf numFmtId="0" fontId="6" fillId="7" borderId="0" xfId="0" applyFont="1" applyFill="1" applyAlignment="1">
      <alignment horizontal="right" vertical="center"/>
    </xf>
    <xf numFmtId="0" fontId="6" fillId="7" borderId="10" xfId="0" applyFont="1" applyFill="1" applyBorder="1" applyAlignment="1">
      <alignment horizontal="right" vertical="center"/>
    </xf>
    <xf numFmtId="3" fontId="6" fillId="0" borderId="2" xfId="0" applyNumberFormat="1" applyFont="1" applyFill="1" applyBorder="1" applyAlignment="1">
      <alignment vertical="center"/>
    </xf>
    <xf numFmtId="3" fontId="6" fillId="7" borderId="2" xfId="0" applyNumberFormat="1" applyFont="1" applyFill="1" applyBorder="1" applyAlignment="1">
      <alignment vertical="center"/>
    </xf>
    <xf numFmtId="3" fontId="36" fillId="5" borderId="2" xfId="0" applyNumberFormat="1" applyFont="1" applyFill="1" applyBorder="1" applyAlignment="1">
      <alignment horizontal="centerContinuous" vertical="center"/>
    </xf>
    <xf numFmtId="0" fontId="6" fillId="5" borderId="2" xfId="0" applyFont="1" applyFill="1" applyBorder="1" applyAlignment="1">
      <alignment horizontal="centerContinuous" vertical="center"/>
    </xf>
    <xf numFmtId="3" fontId="36" fillId="5" borderId="14" xfId="0" applyNumberFormat="1" applyFont="1" applyFill="1" applyBorder="1" applyAlignment="1">
      <alignment horizontal="centerContinuous" vertical="center"/>
    </xf>
    <xf numFmtId="0" fontId="6" fillId="5" borderId="0" xfId="0" applyFont="1" applyFill="1" applyAlignment="1">
      <alignment horizontal="centerContinuous" vertical="center"/>
    </xf>
    <xf numFmtId="0" fontId="6" fillId="5" borderId="10" xfId="0" applyFont="1" applyFill="1" applyBorder="1" applyAlignment="1">
      <alignment horizontal="centerContinuous" vertical="center"/>
    </xf>
    <xf numFmtId="3" fontId="36" fillId="5" borderId="4" xfId="0" applyNumberFormat="1" applyFont="1" applyFill="1" applyBorder="1" applyAlignment="1">
      <alignment horizontal="centerContinuous" vertical="center"/>
    </xf>
    <xf numFmtId="0" fontId="6" fillId="5" borderId="4" xfId="0" applyFont="1" applyFill="1" applyBorder="1" applyAlignment="1">
      <alignment horizontal="centerContinuous" vertical="center"/>
    </xf>
    <xf numFmtId="3" fontId="6" fillId="5" borderId="4" xfId="0" applyNumberFormat="1" applyFont="1" applyFill="1" applyBorder="1" applyAlignment="1">
      <alignment horizontal="centerContinuous" vertical="center"/>
    </xf>
    <xf numFmtId="3" fontId="27" fillId="0" borderId="0" xfId="0" applyNumberFormat="1" applyFont="1" applyFill="1" applyBorder="1" applyAlignment="1">
      <alignment vertical="center"/>
    </xf>
    <xf numFmtId="0" fontId="21" fillId="0" borderId="0" xfId="0" applyFont="1" applyAlignment="1">
      <alignment vertical="top" wrapText="1"/>
    </xf>
    <xf numFmtId="0" fontId="6" fillId="7" borderId="0" xfId="0" applyFont="1" applyFill="1" applyAlignment="1">
      <alignment horizontal="left" vertical="center"/>
    </xf>
    <xf numFmtId="0" fontId="6" fillId="0" borderId="0" xfId="0" applyFont="1" applyFill="1"/>
    <xf numFmtId="0" fontId="6" fillId="0" borderId="0" xfId="0" applyFont="1" applyFill="1" applyAlignment="1">
      <alignment horizontal="left" vertical="center"/>
    </xf>
    <xf numFmtId="0" fontId="39" fillId="4" borderId="0" xfId="0" applyFont="1" applyFill="1" applyAlignment="1">
      <alignment horizontal="left" vertical="center"/>
    </xf>
    <xf numFmtId="0" fontId="40" fillId="0" borderId="0" xfId="0" applyFont="1" applyFill="1" applyBorder="1" applyAlignment="1">
      <alignment horizontal="centerContinuous" vertical="center"/>
    </xf>
    <xf numFmtId="0" fontId="13" fillId="0" borderId="0" xfId="0" applyFont="1" applyFill="1" applyBorder="1" applyAlignment="1">
      <alignment horizontal="centerContinuous" vertical="center"/>
    </xf>
    <xf numFmtId="14" fontId="13" fillId="0" borderId="0" xfId="0" applyNumberFormat="1" applyFont="1" applyFill="1" applyBorder="1" applyAlignment="1">
      <alignment horizontal="centerContinuous" vertical="center"/>
    </xf>
    <xf numFmtId="14" fontId="34" fillId="0" borderId="0" xfId="0" applyNumberFormat="1" applyFont="1" applyFill="1" applyBorder="1" applyAlignment="1">
      <alignment horizontal="centerContinuous" vertical="center"/>
    </xf>
    <xf numFmtId="0" fontId="41" fillId="0" borderId="0" xfId="0" applyFont="1" applyFill="1" applyBorder="1" applyAlignment="1">
      <alignment horizontal="centerContinuous" vertical="center"/>
    </xf>
    <xf numFmtId="0" fontId="42" fillId="7" borderId="0" xfId="0" applyFont="1" applyFill="1" applyAlignment="1">
      <alignment vertical="center" wrapText="1"/>
    </xf>
    <xf numFmtId="0" fontId="7" fillId="7" borderId="0" xfId="0" applyFont="1" applyFill="1" applyAlignment="1">
      <alignment horizontal="center" vertical="center"/>
    </xf>
    <xf numFmtId="0" fontId="7" fillId="7" borderId="0" xfId="0" applyFont="1" applyFill="1" applyAlignment="1">
      <alignment horizontal="left" vertical="center"/>
    </xf>
    <xf numFmtId="0" fontId="17" fillId="7" borderId="0" xfId="0" applyFont="1" applyFill="1" applyAlignment="1">
      <alignment horizontal="right" vertical="center"/>
    </xf>
    <xf numFmtId="14" fontId="9" fillId="7" borderId="0" xfId="0" applyNumberFormat="1" applyFont="1" applyFill="1" applyAlignment="1">
      <alignment horizontal="left" vertical="center"/>
    </xf>
    <xf numFmtId="0" fontId="42" fillId="7" borderId="0" xfId="0" applyFont="1" applyFill="1" applyAlignment="1">
      <alignment vertical="center"/>
    </xf>
    <xf numFmtId="0" fontId="41" fillId="7" borderId="0" xfId="0" applyFont="1" applyFill="1" applyBorder="1" applyAlignment="1">
      <alignment vertical="center"/>
    </xf>
    <xf numFmtId="0" fontId="41" fillId="7" borderId="0" xfId="0" applyFont="1" applyFill="1" applyBorder="1" applyAlignment="1">
      <alignment vertical="center" wrapText="1"/>
    </xf>
    <xf numFmtId="0" fontId="43" fillId="7" borderId="0" xfId="0" applyFont="1" applyFill="1" applyAlignment="1">
      <alignment horizontal="center" vertical="center"/>
    </xf>
    <xf numFmtId="0" fontId="7" fillId="7" borderId="0" xfId="0" applyFont="1" applyFill="1" applyAlignment="1">
      <alignment vertical="center"/>
    </xf>
    <xf numFmtId="0" fontId="6" fillId="7" borderId="0" xfId="0" applyFont="1" applyFill="1" applyAlignment="1">
      <alignment vertical="center" wrapText="1"/>
    </xf>
    <xf numFmtId="0" fontId="6" fillId="9" borderId="0" xfId="0" applyFont="1" applyFill="1" applyAlignment="1">
      <alignment vertical="center"/>
    </xf>
    <xf numFmtId="0" fontId="20" fillId="4" borderId="1" xfId="0" applyFont="1" applyFill="1" applyBorder="1" applyAlignment="1">
      <alignment horizontal="center" vertical="center"/>
    </xf>
    <xf numFmtId="0" fontId="6" fillId="8" borderId="2" xfId="0" applyFont="1" applyFill="1" applyBorder="1" applyAlignment="1">
      <alignment vertical="center"/>
    </xf>
    <xf numFmtId="0" fontId="6" fillId="14" borderId="2" xfId="0" applyFont="1" applyFill="1" applyBorder="1" applyAlignment="1">
      <alignment vertical="center" wrapText="1"/>
    </xf>
    <xf numFmtId="0" fontId="20" fillId="4" borderId="15" xfId="0" applyFont="1" applyFill="1" applyBorder="1" applyAlignment="1">
      <alignment horizontal="center" vertical="center"/>
    </xf>
    <xf numFmtId="0" fontId="20" fillId="4" borderId="8" xfId="0" applyFont="1" applyFill="1" applyBorder="1" applyAlignment="1">
      <alignment horizontal="center" vertical="center" wrapText="1"/>
    </xf>
    <xf numFmtId="0" fontId="6" fillId="7" borderId="6" xfId="0" applyFont="1" applyFill="1" applyBorder="1" applyAlignment="1">
      <alignment horizontal="center" vertical="center"/>
    </xf>
    <xf numFmtId="166" fontId="6" fillId="7" borderId="5" xfId="0" applyNumberFormat="1" applyFont="1" applyFill="1" applyBorder="1" applyAlignment="1">
      <alignment horizontal="center" vertical="center"/>
    </xf>
    <xf numFmtId="0" fontId="24" fillId="7" borderId="0" xfId="0" applyFont="1" applyFill="1" applyAlignment="1">
      <alignment vertical="center"/>
    </xf>
    <xf numFmtId="0" fontId="6" fillId="7" borderId="2" xfId="0" applyFont="1" applyFill="1" applyBorder="1" applyAlignment="1">
      <alignment vertical="center" wrapText="1"/>
    </xf>
    <xf numFmtId="1" fontId="6" fillId="0" borderId="0" xfId="0" applyNumberFormat="1" applyFont="1" applyAlignment="1">
      <alignment vertical="center"/>
    </xf>
    <xf numFmtId="3" fontId="6" fillId="8" borderId="2" xfId="0" applyNumberFormat="1" applyFont="1" applyFill="1" applyBorder="1" applyAlignment="1">
      <alignment vertical="center"/>
    </xf>
    <xf numFmtId="0" fontId="21" fillId="7" borderId="0" xfId="0" applyFont="1" applyFill="1" applyAlignment="1">
      <alignment vertical="center" textRotation="90"/>
    </xf>
    <xf numFmtId="0" fontId="6" fillId="9" borderId="2" xfId="0" applyFont="1" applyFill="1" applyBorder="1" applyAlignment="1">
      <alignment horizontal="center" vertical="center"/>
    </xf>
    <xf numFmtId="0" fontId="8" fillId="7" borderId="0" xfId="0" applyFont="1" applyFill="1" applyAlignment="1">
      <alignment horizontal="center" vertical="center"/>
    </xf>
    <xf numFmtId="0" fontId="6" fillId="8" borderId="2" xfId="0" applyFont="1" applyFill="1" applyBorder="1" applyAlignment="1">
      <alignment horizontal="center" vertical="center"/>
    </xf>
    <xf numFmtId="0" fontId="8" fillId="7" borderId="0" xfId="0" applyFont="1" applyFill="1" applyAlignment="1">
      <alignment horizontal="right" vertical="center"/>
    </xf>
    <xf numFmtId="166" fontId="6" fillId="0" borderId="5" xfId="0" applyNumberFormat="1" applyFont="1" applyFill="1" applyBorder="1" applyAlignment="1">
      <alignment horizontal="center" vertical="center"/>
    </xf>
    <xf numFmtId="0" fontId="6" fillId="7" borderId="5" xfId="0" applyFont="1" applyFill="1" applyBorder="1" applyAlignment="1">
      <alignment horizontal="left" vertical="center"/>
    </xf>
    <xf numFmtId="0" fontId="6" fillId="7" borderId="7" xfId="0" applyFont="1" applyFill="1" applyBorder="1" applyAlignment="1">
      <alignment horizontal="left" vertical="center" wrapText="1"/>
    </xf>
    <xf numFmtId="0" fontId="6" fillId="7" borderId="6" xfId="0" applyFont="1" applyFill="1" applyBorder="1" applyAlignment="1">
      <alignment horizontal="left" vertical="center" wrapText="1"/>
    </xf>
    <xf numFmtId="166" fontId="6" fillId="8" borderId="2" xfId="0" applyNumberFormat="1" applyFont="1" applyFill="1" applyBorder="1" applyAlignment="1">
      <alignment vertical="center"/>
    </xf>
    <xf numFmtId="0" fontId="20" fillId="7" borderId="0" xfId="0" applyFont="1" applyFill="1" applyAlignment="1">
      <alignment horizontal="center" vertical="center" wrapText="1"/>
    </xf>
    <xf numFmtId="0" fontId="6" fillId="7" borderId="0" xfId="0" applyFont="1" applyFill="1" applyAlignment="1">
      <alignment horizontal="left" vertical="center" wrapText="1"/>
    </xf>
    <xf numFmtId="0" fontId="20" fillId="4" borderId="9" xfId="0" applyFont="1" applyFill="1" applyBorder="1" applyAlignment="1">
      <alignment horizontal="center" vertical="center" wrapText="1"/>
    </xf>
    <xf numFmtId="0" fontId="14" fillId="7" borderId="0" xfId="0" applyFont="1" applyFill="1" applyAlignment="1">
      <alignment vertical="center"/>
    </xf>
    <xf numFmtId="0" fontId="12" fillId="0" borderId="0" xfId="0" quotePrefix="1" applyFont="1" applyAlignment="1">
      <alignment vertical="center"/>
    </xf>
    <xf numFmtId="0" fontId="20" fillId="4" borderId="1" xfId="0" applyFont="1" applyFill="1" applyBorder="1" applyAlignment="1">
      <alignment horizontal="center" vertical="center" wrapText="1"/>
    </xf>
    <xf numFmtId="0" fontId="20" fillId="7" borderId="0" xfId="0" applyFont="1" applyFill="1" applyAlignment="1">
      <alignment vertical="center"/>
    </xf>
    <xf numFmtId="0" fontId="6" fillId="7" borderId="7"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45" fillId="9" borderId="6" xfId="0" applyFont="1" applyFill="1" applyBorder="1" applyAlignment="1">
      <alignment horizontal="center" vertical="center"/>
    </xf>
    <xf numFmtId="0" fontId="6" fillId="7" borderId="5" xfId="0" applyFont="1" applyFill="1" applyBorder="1" applyAlignment="1">
      <alignment vertical="center"/>
    </xf>
    <xf numFmtId="0" fontId="6" fillId="7" borderId="7" xfId="0" applyFont="1" applyFill="1" applyBorder="1" applyAlignment="1">
      <alignment vertical="center"/>
    </xf>
    <xf numFmtId="0" fontId="6" fillId="7" borderId="6" xfId="0" applyFont="1" applyFill="1" applyBorder="1" applyAlignment="1">
      <alignment vertical="center"/>
    </xf>
    <xf numFmtId="167" fontId="6" fillId="8" borderId="5" xfId="1" applyNumberFormat="1" applyFont="1" applyFill="1" applyBorder="1" applyAlignment="1">
      <alignment horizontal="center" vertical="center"/>
    </xf>
    <xf numFmtId="167" fontId="6" fillId="7" borderId="6" xfId="1" applyNumberFormat="1" applyFont="1" applyFill="1" applyBorder="1" applyAlignment="1">
      <alignment horizontal="center" vertical="center"/>
    </xf>
    <xf numFmtId="167" fontId="46" fillId="7" borderId="6" xfId="1" applyNumberFormat="1" applyFont="1" applyFill="1" applyBorder="1" applyAlignment="1">
      <alignment horizontal="center" vertical="center"/>
    </xf>
    <xf numFmtId="1" fontId="6" fillId="8" borderId="5" xfId="1" applyNumberFormat="1" applyFont="1" applyFill="1" applyBorder="1" applyAlignment="1">
      <alignment horizontal="center" vertical="center"/>
    </xf>
    <xf numFmtId="1" fontId="6" fillId="7" borderId="6" xfId="1" applyNumberFormat="1" applyFont="1" applyFill="1" applyBorder="1" applyAlignment="1">
      <alignment horizontal="center" vertical="center"/>
    </xf>
    <xf numFmtId="0" fontId="6" fillId="7" borderId="16" xfId="0" applyFont="1" applyFill="1" applyBorder="1" applyAlignment="1">
      <alignment vertical="center"/>
    </xf>
    <xf numFmtId="0" fontId="6" fillId="7" borderId="17" xfId="0" applyFont="1" applyFill="1" applyBorder="1" applyAlignment="1">
      <alignment vertical="center"/>
    </xf>
    <xf numFmtId="0" fontId="6" fillId="7" borderId="18" xfId="0" applyFont="1" applyFill="1" applyBorder="1" applyAlignment="1">
      <alignment vertical="center"/>
    </xf>
    <xf numFmtId="167" fontId="6" fillId="7" borderId="16" xfId="1" quotePrefix="1" applyNumberFormat="1" applyFont="1" applyFill="1" applyBorder="1" applyAlignment="1">
      <alignment horizontal="center" vertical="center"/>
    </xf>
    <xf numFmtId="167" fontId="6" fillId="7" borderId="18" xfId="1" quotePrefix="1" applyNumberFormat="1" applyFont="1" applyFill="1" applyBorder="1" applyAlignment="1">
      <alignment horizontal="center" vertical="center"/>
    </xf>
    <xf numFmtId="167" fontId="46" fillId="7" borderId="18" xfId="1" quotePrefix="1" applyNumberFormat="1" applyFont="1" applyFill="1" applyBorder="1" applyAlignment="1">
      <alignment horizontal="center" vertical="center"/>
    </xf>
    <xf numFmtId="1" fontId="6" fillId="8" borderId="16" xfId="1" applyNumberFormat="1" applyFont="1" applyFill="1" applyBorder="1" applyAlignment="1">
      <alignment horizontal="center" vertical="center"/>
    </xf>
    <xf numFmtId="1" fontId="6" fillId="7" borderId="18" xfId="1" applyNumberFormat="1" applyFont="1" applyFill="1" applyBorder="1" applyAlignment="1">
      <alignment horizontal="center" vertical="center"/>
    </xf>
    <xf numFmtId="0" fontId="6" fillId="7" borderId="8" xfId="0" applyFont="1" applyFill="1" applyBorder="1" applyAlignment="1">
      <alignment vertical="center"/>
    </xf>
    <xf numFmtId="0" fontId="6" fillId="7" borderId="13" xfId="0" applyFont="1" applyFill="1" applyBorder="1" applyAlignment="1">
      <alignment vertical="center"/>
    </xf>
    <xf numFmtId="0" fontId="6" fillId="7" borderId="15" xfId="0" applyFont="1" applyFill="1" applyBorder="1" applyAlignment="1">
      <alignment vertical="center"/>
    </xf>
    <xf numFmtId="167" fontId="6" fillId="7" borderId="8" xfId="1" applyNumberFormat="1" applyFont="1" applyFill="1" applyBorder="1" applyAlignment="1">
      <alignment horizontal="center" vertical="center"/>
    </xf>
    <xf numFmtId="167" fontId="6" fillId="7" borderId="15" xfId="1" applyNumberFormat="1" applyFont="1" applyFill="1" applyBorder="1" applyAlignment="1">
      <alignment horizontal="center" vertical="center"/>
    </xf>
    <xf numFmtId="167" fontId="46" fillId="7" borderId="15" xfId="1" applyNumberFormat="1" applyFont="1" applyFill="1" applyBorder="1" applyAlignment="1">
      <alignment horizontal="center" vertical="center"/>
    </xf>
    <xf numFmtId="0" fontId="6" fillId="9" borderId="11" xfId="0" applyFont="1" applyFill="1" applyBorder="1" applyAlignment="1">
      <alignment vertical="center"/>
    </xf>
    <xf numFmtId="0" fontId="6" fillId="9" borderId="9" xfId="0" applyFont="1" applyFill="1" applyBorder="1" applyAlignment="1">
      <alignment vertical="center"/>
    </xf>
    <xf numFmtId="0" fontId="6" fillId="9" borderId="14" xfId="0" applyFont="1" applyFill="1" applyBorder="1" applyAlignment="1">
      <alignment vertical="center"/>
    </xf>
    <xf numFmtId="0" fontId="6" fillId="9" borderId="10" xfId="0" applyFont="1" applyFill="1" applyBorder="1" applyAlignment="1">
      <alignment vertical="center"/>
    </xf>
    <xf numFmtId="0" fontId="6" fillId="9" borderId="8" xfId="0" applyFont="1" applyFill="1" applyBorder="1" applyAlignment="1">
      <alignment vertical="center"/>
    </xf>
    <xf numFmtId="0" fontId="6" fillId="9" borderId="15" xfId="0" applyFont="1" applyFill="1" applyBorder="1" applyAlignment="1">
      <alignment vertical="center"/>
    </xf>
    <xf numFmtId="0" fontId="6" fillId="9" borderId="2" xfId="0" applyFont="1" applyFill="1" applyBorder="1" applyAlignment="1">
      <alignment horizontal="center" vertical="center" wrapText="1"/>
    </xf>
    <xf numFmtId="3" fontId="6" fillId="8" borderId="2" xfId="0" applyNumberFormat="1" applyFont="1" applyFill="1" applyBorder="1" applyAlignment="1">
      <alignment horizontal="center" vertical="center"/>
    </xf>
    <xf numFmtId="0" fontId="12" fillId="0" borderId="0" xfId="0" applyFont="1" applyAlignment="1">
      <alignment vertical="center"/>
    </xf>
    <xf numFmtId="168" fontId="6" fillId="8" borderId="2" xfId="0" applyNumberFormat="1" applyFont="1" applyFill="1" applyBorder="1" applyAlignment="1">
      <alignment vertical="center"/>
    </xf>
    <xf numFmtId="165" fontId="6" fillId="8" borderId="2" xfId="0" applyNumberFormat="1" applyFont="1" applyFill="1" applyBorder="1" applyAlignment="1">
      <alignment vertical="center"/>
    </xf>
    <xf numFmtId="4" fontId="6" fillId="8" borderId="2" xfId="0" applyNumberFormat="1" applyFont="1" applyFill="1" applyBorder="1" applyAlignment="1">
      <alignment vertical="center"/>
    </xf>
    <xf numFmtId="173" fontId="6" fillId="8" borderId="2" xfId="0" applyNumberFormat="1" applyFont="1" applyFill="1" applyBorder="1" applyAlignment="1">
      <alignment vertical="center"/>
    </xf>
    <xf numFmtId="171" fontId="6" fillId="8" borderId="2" xfId="0" applyNumberFormat="1" applyFont="1" applyFill="1" applyBorder="1" applyAlignment="1">
      <alignment vertical="center"/>
    </xf>
    <xf numFmtId="172" fontId="6" fillId="8" borderId="2" xfId="0" applyNumberFormat="1" applyFont="1" applyFill="1" applyBorder="1" applyAlignment="1">
      <alignment vertical="center"/>
    </xf>
    <xf numFmtId="167" fontId="6" fillId="8" borderId="2" xfId="1" applyNumberFormat="1" applyFont="1" applyFill="1" applyBorder="1" applyAlignment="1">
      <alignment vertical="center"/>
    </xf>
    <xf numFmtId="0" fontId="13" fillId="9" borderId="15" xfId="0" applyFont="1" applyFill="1" applyBorder="1" applyAlignment="1">
      <alignment vertical="center" wrapText="1"/>
    </xf>
    <xf numFmtId="0" fontId="13" fillId="9" borderId="4" xfId="0" applyFont="1" applyFill="1" applyBorder="1" applyAlignment="1">
      <alignment vertical="center" wrapText="1"/>
    </xf>
    <xf numFmtId="0" fontId="13" fillId="9" borderId="8" xfId="0" applyFont="1" applyFill="1" applyBorder="1" applyAlignment="1">
      <alignment vertical="center" wrapText="1"/>
    </xf>
    <xf numFmtId="0" fontId="6" fillId="8" borderId="2" xfId="0" applyFont="1" applyFill="1" applyBorder="1" applyAlignment="1">
      <alignment horizontal="right" vertical="center"/>
    </xf>
    <xf numFmtId="170" fontId="6" fillId="7" borderId="5" xfId="0" applyNumberFormat="1" applyFont="1" applyFill="1" applyBorder="1" applyAlignment="1">
      <alignment vertical="center"/>
    </xf>
    <xf numFmtId="0" fontId="6" fillId="7" borderId="9" xfId="0" applyFont="1" applyFill="1" applyBorder="1" applyAlignment="1">
      <alignment vertical="center"/>
    </xf>
    <xf numFmtId="0" fontId="6" fillId="8" borderId="1" xfId="0" applyFont="1" applyFill="1" applyBorder="1" applyAlignment="1">
      <alignment horizontal="right" vertical="center"/>
    </xf>
    <xf numFmtId="0" fontId="6" fillId="7" borderId="1" xfId="0" applyFont="1" applyFill="1" applyBorder="1" applyAlignment="1">
      <alignment vertical="center"/>
    </xf>
    <xf numFmtId="170" fontId="6" fillId="7" borderId="11" xfId="0" applyNumberFormat="1" applyFont="1" applyFill="1" applyBorder="1" applyAlignment="1">
      <alignment vertical="center"/>
    </xf>
    <xf numFmtId="0" fontId="21" fillId="7" borderId="0" xfId="0" applyFont="1" applyFill="1" applyAlignment="1">
      <alignment horizontal="center" vertical="center" textRotation="90"/>
    </xf>
    <xf numFmtId="0" fontId="6" fillId="0" borderId="0" xfId="0" applyFont="1" applyAlignment="1">
      <alignment vertical="center" wrapText="1"/>
    </xf>
    <xf numFmtId="0" fontId="43" fillId="0" borderId="0" xfId="0" applyFont="1" applyAlignment="1">
      <alignment horizontal="center" vertical="center"/>
    </xf>
    <xf numFmtId="0" fontId="10" fillId="0" borderId="0" xfId="0" applyFont="1" applyAlignment="1">
      <alignment horizontal="center" vertical="center"/>
    </xf>
    <xf numFmtId="0" fontId="23" fillId="0" borderId="0" xfId="0" applyFont="1" applyAlignment="1" applyProtection="1">
      <alignment horizontal="left" vertical="center"/>
      <protection hidden="1"/>
    </xf>
    <xf numFmtId="0" fontId="23" fillId="0" borderId="0" xfId="0" applyFont="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2" fillId="0" borderId="0" xfId="0" applyFont="1" applyAlignment="1">
      <alignment vertical="center"/>
    </xf>
    <xf numFmtId="0" fontId="6" fillId="0" borderId="0" xfId="0" applyFont="1" applyAlignment="1">
      <alignment horizontal="center" textRotation="45" wrapText="1"/>
    </xf>
    <xf numFmtId="0" fontId="10" fillId="17" borderId="0" xfId="0" applyFont="1" applyFill="1" applyAlignment="1">
      <alignment horizontal="center" vertical="center"/>
    </xf>
    <xf numFmtId="49" fontId="10" fillId="17" borderId="0" xfId="0" applyNumberFormat="1" applyFont="1" applyFill="1" applyAlignment="1">
      <alignment horizontal="center" vertical="center"/>
    </xf>
    <xf numFmtId="0" fontId="6" fillId="0" borderId="0" xfId="0" applyFont="1" applyAlignment="1">
      <alignment horizontal="left" vertical="center" wrapText="1"/>
    </xf>
    <xf numFmtId="0" fontId="6" fillId="0" borderId="0" xfId="0" applyFont="1" applyFill="1" applyAlignment="1">
      <alignment horizontal="left" vertical="center" wrapText="1"/>
    </xf>
    <xf numFmtId="0" fontId="23" fillId="0" borderId="0" xfId="0" applyFont="1" applyAlignment="1">
      <alignment vertical="center"/>
    </xf>
    <xf numFmtId="0" fontId="6" fillId="6" borderId="2" xfId="0" applyFont="1" applyFill="1" applyBorder="1" applyAlignment="1">
      <alignment horizontal="center" vertical="center"/>
    </xf>
    <xf numFmtId="0" fontId="27" fillId="5" borderId="2" xfId="0" applyFont="1" applyFill="1" applyBorder="1" applyAlignment="1">
      <alignment horizontal="center" vertical="center"/>
    </xf>
    <xf numFmtId="0" fontId="6" fillId="12" borderId="2" xfId="0" applyFont="1" applyFill="1" applyBorder="1" applyAlignment="1">
      <alignment horizontal="center" vertical="center"/>
    </xf>
    <xf numFmtId="0" fontId="35" fillId="16" borderId="0" xfId="0" applyFont="1" applyFill="1" applyAlignment="1">
      <alignment horizontal="center" vertical="center"/>
    </xf>
    <xf numFmtId="0" fontId="6" fillId="0" borderId="2" xfId="0" applyFont="1" applyBorder="1" applyAlignment="1">
      <alignment horizontal="right" vertical="center"/>
    </xf>
    <xf numFmtId="0" fontId="27" fillId="0" borderId="0" xfId="0" applyFont="1" applyFill="1" applyAlignment="1">
      <alignment horizontal="center" vertical="center"/>
    </xf>
    <xf numFmtId="0" fontId="38" fillId="2" borderId="2" xfId="0" applyFont="1" applyFill="1" applyBorder="1" applyAlignment="1">
      <alignment vertical="center"/>
    </xf>
    <xf numFmtId="0" fontId="6" fillId="0" borderId="0" xfId="0" applyFont="1" applyAlignment="1">
      <alignment horizontal="center" vertical="center" wrapText="1"/>
    </xf>
    <xf numFmtId="0" fontId="6" fillId="0" borderId="0" xfId="0" applyFont="1" applyBorder="1" applyAlignment="1" applyProtection="1">
      <alignment horizontal="right" vertical="center"/>
      <protection hidden="1"/>
    </xf>
    <xf numFmtId="0" fontId="6" fillId="0" borderId="0" xfId="0" applyFont="1" applyFill="1" applyBorder="1" applyAlignment="1" applyProtection="1">
      <alignment horizontal="right" vertical="center"/>
      <protection hidden="1"/>
    </xf>
    <xf numFmtId="0" fontId="6" fillId="0" borderId="0" xfId="0" applyFont="1" applyFill="1" applyBorder="1" applyAlignment="1">
      <alignment horizontal="right" vertical="center"/>
    </xf>
    <xf numFmtId="0" fontId="38" fillId="4" borderId="0" xfId="0" applyFont="1" applyFill="1" applyBorder="1" applyAlignment="1">
      <alignment vertical="center"/>
    </xf>
    <xf numFmtId="0" fontId="6" fillId="0" borderId="5" xfId="0" applyFont="1" applyFill="1" applyBorder="1" applyAlignment="1">
      <alignment horizontal="centerContinuous" vertical="center"/>
    </xf>
    <xf numFmtId="0" fontId="6" fillId="0" borderId="7" xfId="0" applyFont="1" applyFill="1" applyBorder="1" applyAlignment="1">
      <alignment horizontal="centerContinuous" vertical="center"/>
    </xf>
    <xf numFmtId="0" fontId="6" fillId="0" borderId="6" xfId="0" applyFont="1" applyFill="1" applyBorder="1" applyAlignment="1">
      <alignment horizontal="centerContinuous" vertical="center"/>
    </xf>
    <xf numFmtId="0" fontId="6" fillId="0" borderId="10" xfId="0" applyFont="1" applyBorder="1" applyAlignment="1">
      <alignment horizontal="center" vertical="center"/>
    </xf>
    <xf numFmtId="0" fontId="6" fillId="0" borderId="2" xfId="0" applyFont="1" applyBorder="1" applyAlignment="1" applyProtection="1">
      <alignment horizontal="right" vertical="center"/>
      <protection locked="0" hidden="1"/>
    </xf>
    <xf numFmtId="0" fontId="49" fillId="0" borderId="6" xfId="0" applyFont="1" applyFill="1" applyBorder="1" applyAlignment="1">
      <alignment horizontal="centerContinuous" vertical="center"/>
    </xf>
    <xf numFmtId="0" fontId="6" fillId="0" borderId="5" xfId="0" applyFont="1" applyFill="1" applyBorder="1" applyAlignment="1">
      <alignment horizontal="centerContinuous" vertical="center" wrapText="1"/>
    </xf>
    <xf numFmtId="0" fontId="27" fillId="5" borderId="2" xfId="0" applyFont="1" applyFill="1" applyBorder="1" applyAlignment="1">
      <alignment horizontal="center" vertical="center" wrapText="1"/>
    </xf>
    <xf numFmtId="0" fontId="6" fillId="0" borderId="2" xfId="0" applyFont="1" applyBorder="1" applyAlignment="1" applyProtection="1">
      <alignment horizontal="right" vertical="center"/>
      <protection locked="0"/>
    </xf>
    <xf numFmtId="0" fontId="6" fillId="12" borderId="2" xfId="0" applyFont="1" applyFill="1" applyBorder="1" applyAlignment="1" applyProtection="1">
      <alignment horizontal="center" vertical="center"/>
      <protection locked="0"/>
    </xf>
    <xf numFmtId="0" fontId="6" fillId="0" borderId="2" xfId="0" applyFont="1" applyFill="1" applyBorder="1" applyAlignment="1">
      <alignment horizontal="centerContinuous" vertical="center" wrapText="1"/>
    </xf>
    <xf numFmtId="0" fontId="6" fillId="0" borderId="0" xfId="0" applyFont="1" applyAlignment="1" applyProtection="1">
      <alignment horizontal="left" vertical="center" wrapText="1"/>
      <protection hidden="1"/>
    </xf>
    <xf numFmtId="0" fontId="38" fillId="4" borderId="12" xfId="0" applyFont="1" applyFill="1" applyBorder="1" applyAlignment="1">
      <alignment vertical="center" wrapText="1"/>
    </xf>
    <xf numFmtId="0" fontId="6" fillId="0" borderId="0" xfId="0" applyFont="1" applyBorder="1" applyAlignment="1">
      <alignment horizontal="center" vertical="center"/>
    </xf>
    <xf numFmtId="0" fontId="6" fillId="0" borderId="0" xfId="0" applyFont="1" applyFill="1" applyBorder="1" applyAlignment="1" applyProtection="1">
      <alignment horizontal="right" vertical="center"/>
    </xf>
    <xf numFmtId="0" fontId="38" fillId="4" borderId="0" xfId="0" applyFont="1" applyFill="1" applyBorder="1" applyAlignment="1">
      <alignment vertical="center" wrapText="1"/>
    </xf>
    <xf numFmtId="0" fontId="6" fillId="0" borderId="0" xfId="0" applyFont="1" applyFill="1" applyBorder="1" applyAlignment="1" applyProtection="1">
      <alignment horizontal="right" vertical="center" wrapText="1"/>
    </xf>
    <xf numFmtId="3" fontId="6" fillId="0" borderId="2" xfId="0" applyNumberFormat="1" applyFont="1" applyBorder="1" applyAlignment="1" applyProtection="1">
      <alignment horizontal="right" vertical="center"/>
      <protection locked="0" hidden="1"/>
    </xf>
    <xf numFmtId="3" fontId="6" fillId="0" borderId="0" xfId="0" applyNumberFormat="1" applyFont="1" applyFill="1" applyBorder="1" applyAlignment="1" applyProtection="1">
      <alignment horizontal="right" vertical="center"/>
    </xf>
    <xf numFmtId="0" fontId="6" fillId="0" borderId="12" xfId="0" applyFont="1" applyBorder="1" applyAlignment="1" applyProtection="1">
      <alignment horizontal="right" vertical="center"/>
      <protection hidden="1"/>
    </xf>
    <xf numFmtId="0" fontId="38" fillId="4" borderId="1" xfId="0" applyFont="1" applyFill="1" applyBorder="1" applyAlignment="1">
      <alignment horizontal="left" vertical="center"/>
    </xf>
    <xf numFmtId="0" fontId="10" fillId="0" borderId="2" xfId="0" applyFont="1" applyFill="1" applyBorder="1" applyAlignment="1" applyProtection="1">
      <alignment horizontal="center" vertical="center"/>
      <protection locked="0"/>
    </xf>
    <xf numFmtId="0" fontId="12" fillId="0" borderId="0" xfId="0" applyFont="1" applyAlignment="1">
      <alignment horizontal="left" vertical="center"/>
    </xf>
    <xf numFmtId="164" fontId="6" fillId="0" borderId="0" xfId="0" applyNumberFormat="1" applyFont="1" applyAlignment="1" applyProtection="1">
      <alignment horizontal="left" vertical="center" wrapText="1"/>
      <protection hidden="1"/>
    </xf>
    <xf numFmtId="164" fontId="6" fillId="0" borderId="0" xfId="0" applyNumberFormat="1" applyFont="1" applyAlignment="1">
      <alignment horizontal="left" vertical="center" wrapText="1"/>
    </xf>
    <xf numFmtId="0" fontId="6" fillId="0" borderId="7" xfId="0" applyFont="1" applyBorder="1" applyAlignment="1">
      <alignment horizontal="centerContinuous" vertical="center" wrapText="1"/>
    </xf>
    <xf numFmtId="0" fontId="6" fillId="0" borderId="6" xfId="0" applyFont="1" applyBorder="1" applyAlignment="1">
      <alignment horizontal="centerContinuous" vertical="center" wrapText="1"/>
    </xf>
    <xf numFmtId="0" fontId="6" fillId="0" borderId="2" xfId="0" applyFont="1" applyBorder="1" applyAlignment="1" applyProtection="1">
      <alignment vertical="center" wrapText="1"/>
      <protection locked="0" hidden="1"/>
    </xf>
    <xf numFmtId="0" fontId="10" fillId="0" borderId="5" xfId="0" applyFont="1" applyBorder="1" applyAlignment="1">
      <alignment horizontal="centerContinuous" vertical="center" wrapText="1"/>
    </xf>
    <xf numFmtId="0" fontId="10" fillId="0" borderId="7"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0" borderId="14" xfId="0" applyFont="1" applyBorder="1" applyAlignment="1">
      <alignment vertical="center"/>
    </xf>
    <xf numFmtId="0" fontId="6" fillId="0" borderId="7" xfId="0" applyFont="1" applyBorder="1" applyAlignment="1" applyProtection="1">
      <alignment horizontal="right" vertical="center"/>
      <protection hidden="1"/>
    </xf>
    <xf numFmtId="0" fontId="6" fillId="0" borderId="7" xfId="0" applyFont="1" applyBorder="1" applyAlignment="1" applyProtection="1">
      <alignment horizontal="right" vertical="center"/>
    </xf>
    <xf numFmtId="0" fontId="38" fillId="4" borderId="10" xfId="0" applyFont="1" applyFill="1" applyBorder="1" applyAlignment="1">
      <alignment horizontal="left" vertical="center" wrapText="1"/>
    </xf>
    <xf numFmtId="0" fontId="6" fillId="0" borderId="10" xfId="0" applyFont="1" applyBorder="1" applyAlignment="1">
      <alignment horizontal="center" vertical="center" wrapText="1"/>
    </xf>
    <xf numFmtId="3" fontId="6" fillId="0" borderId="2" xfId="0" applyNumberFormat="1" applyFont="1" applyBorder="1" applyAlignment="1" applyProtection="1">
      <alignment horizontal="right" vertical="center"/>
    </xf>
    <xf numFmtId="0" fontId="6" fillId="0" borderId="13" xfId="0" applyFont="1" applyBorder="1" applyAlignment="1" applyProtection="1">
      <alignment vertical="center"/>
      <protection hidden="1"/>
    </xf>
    <xf numFmtId="0" fontId="6" fillId="0" borderId="13" xfId="0" applyFont="1" applyBorder="1" applyAlignment="1" applyProtection="1">
      <alignment vertical="center"/>
    </xf>
    <xf numFmtId="0" fontId="6" fillId="0" borderId="5" xfId="0" applyFont="1" applyBorder="1" applyAlignment="1">
      <alignment horizontal="centerContinuous" vertical="center"/>
    </xf>
    <xf numFmtId="0" fontId="6" fillId="0" borderId="7" xfId="0" applyFont="1" applyBorder="1" applyAlignment="1">
      <alignment horizontal="centerContinuous" vertical="center"/>
    </xf>
    <xf numFmtId="0" fontId="6" fillId="0" borderId="10" xfId="0" applyFont="1" applyBorder="1" applyAlignment="1">
      <alignment vertical="center"/>
    </xf>
    <xf numFmtId="3" fontId="6" fillId="0" borderId="2" xfId="0" applyNumberFormat="1" applyFont="1" applyBorder="1" applyAlignment="1" applyProtection="1">
      <alignment vertical="center"/>
      <protection locked="0" hidden="1"/>
    </xf>
    <xf numFmtId="3" fontId="6" fillId="0" borderId="2" xfId="0" applyNumberFormat="1" applyFont="1" applyBorder="1" applyAlignment="1" applyProtection="1">
      <alignment vertical="center"/>
    </xf>
    <xf numFmtId="0" fontId="13" fillId="0" borderId="5" xfId="0" applyFont="1" applyBorder="1" applyAlignment="1">
      <alignment horizontal="centerContinuous" vertical="center" wrapText="1"/>
    </xf>
    <xf numFmtId="0" fontId="13" fillId="0" borderId="7" xfId="0" applyFont="1" applyBorder="1" applyAlignment="1">
      <alignment horizontal="centerContinuous" vertical="center" wrapText="1"/>
    </xf>
    <xf numFmtId="0" fontId="13" fillId="0" borderId="6" xfId="0" applyFont="1" applyBorder="1" applyAlignment="1">
      <alignment horizontal="centerContinuous" vertical="center" wrapText="1"/>
    </xf>
    <xf numFmtId="1" fontId="6" fillId="0" borderId="2" xfId="0" applyNumberFormat="1" applyFont="1" applyBorder="1" applyAlignment="1" applyProtection="1">
      <alignment vertical="center"/>
      <protection locked="0" hidden="1"/>
    </xf>
    <xf numFmtId="1" fontId="6" fillId="0" borderId="2" xfId="0" applyNumberFormat="1" applyFont="1" applyBorder="1" applyAlignment="1" applyProtection="1">
      <alignment vertical="center"/>
    </xf>
    <xf numFmtId="1" fontId="6" fillId="0" borderId="2" xfId="0" applyNumberFormat="1" applyFont="1" applyBorder="1" applyAlignment="1" applyProtection="1">
      <alignment horizontal="right" vertical="center"/>
      <protection locked="0" hidden="1"/>
    </xf>
    <xf numFmtId="1" fontId="6" fillId="0" borderId="2" xfId="0" applyNumberFormat="1" applyFont="1" applyBorder="1" applyAlignment="1" applyProtection="1">
      <alignment horizontal="right" vertical="center"/>
    </xf>
    <xf numFmtId="1" fontId="6" fillId="0" borderId="2" xfId="0" applyNumberFormat="1" applyFont="1" applyBorder="1" applyAlignment="1" applyProtection="1">
      <alignment horizontal="right" vertical="center"/>
      <protection hidden="1"/>
    </xf>
    <xf numFmtId="0" fontId="6" fillId="0" borderId="13" xfId="0" applyFont="1" applyBorder="1" applyAlignment="1" applyProtection="1">
      <alignment horizontal="right" vertical="center"/>
      <protection hidden="1"/>
    </xf>
    <xf numFmtId="0" fontId="6" fillId="0" borderId="13" xfId="0" applyFont="1" applyBorder="1" applyAlignment="1" applyProtection="1">
      <alignment horizontal="right" vertical="center"/>
    </xf>
    <xf numFmtId="0" fontId="6" fillId="0" borderId="2" xfId="0" applyFont="1" applyBorder="1" applyAlignment="1" applyProtection="1">
      <alignment horizontal="right" vertical="center"/>
    </xf>
    <xf numFmtId="164" fontId="6" fillId="0" borderId="10" xfId="0" applyNumberFormat="1" applyFont="1" applyBorder="1" applyAlignment="1">
      <alignment horizontal="center" vertical="center" wrapText="1"/>
    </xf>
    <xf numFmtId="0" fontId="10" fillId="0" borderId="0" xfId="0" applyFont="1" applyAlignment="1">
      <alignment horizontal="center" vertical="center" wrapText="1"/>
    </xf>
    <xf numFmtId="0" fontId="6" fillId="0" borderId="2" xfId="0" applyFont="1" applyBorder="1" applyAlignment="1" applyProtection="1">
      <alignment vertical="center"/>
      <protection locked="0" hidden="1"/>
    </xf>
    <xf numFmtId="0" fontId="6" fillId="0" borderId="2" xfId="0" applyFont="1" applyBorder="1" applyAlignment="1" applyProtection="1">
      <alignment vertical="center"/>
    </xf>
    <xf numFmtId="164" fontId="6" fillId="0" borderId="10" xfId="0" applyNumberFormat="1" applyFont="1" applyBorder="1" applyAlignment="1">
      <alignment horizontal="center" vertical="center"/>
    </xf>
    <xf numFmtId="2" fontId="27" fillId="7" borderId="10" xfId="1" applyNumberFormat="1" applyFont="1" applyFill="1" applyBorder="1" applyAlignment="1" applyProtection="1">
      <alignment vertical="center"/>
    </xf>
    <xf numFmtId="3" fontId="27" fillId="5" borderId="2" xfId="0" applyNumberFormat="1" applyFont="1" applyFill="1" applyBorder="1" applyAlignment="1" applyProtection="1">
      <alignment horizontal="right" vertical="center"/>
      <protection hidden="1"/>
    </xf>
    <xf numFmtId="3" fontId="27" fillId="5" borderId="2" xfId="0" applyNumberFormat="1" applyFont="1" applyFill="1" applyBorder="1" applyAlignment="1" applyProtection="1">
      <alignment vertical="center"/>
    </xf>
    <xf numFmtId="174" fontId="27" fillId="5" borderId="2" xfId="0" applyNumberFormat="1" applyFont="1" applyFill="1" applyBorder="1" applyAlignment="1" applyProtection="1">
      <alignment vertical="center"/>
      <protection hidden="1"/>
    </xf>
    <xf numFmtId="174" fontId="27" fillId="5" borderId="2" xfId="0" applyNumberFormat="1" applyFont="1" applyFill="1" applyBorder="1" applyAlignment="1" applyProtection="1">
      <alignment vertical="center"/>
    </xf>
    <xf numFmtId="3" fontId="27" fillId="5" borderId="2" xfId="0" applyNumberFormat="1" applyFont="1" applyFill="1" applyBorder="1" applyAlignment="1" applyProtection="1">
      <alignment vertical="center"/>
      <protection hidden="1"/>
    </xf>
    <xf numFmtId="2" fontId="27" fillId="7" borderId="0" xfId="1" applyNumberFormat="1" applyFont="1" applyFill="1" applyBorder="1" applyAlignment="1" applyProtection="1">
      <alignment vertical="center"/>
    </xf>
    <xf numFmtId="3" fontId="27" fillId="5" borderId="7" xfId="0" applyNumberFormat="1" applyFont="1" applyFill="1" applyBorder="1" applyAlignment="1" applyProtection="1">
      <alignment horizontal="right" vertical="center"/>
      <protection hidden="1"/>
    </xf>
    <xf numFmtId="3" fontId="27" fillId="5" borderId="7" xfId="0" applyNumberFormat="1" applyFont="1" applyFill="1" applyBorder="1" applyAlignment="1" applyProtection="1">
      <alignment vertical="center"/>
      <protection hidden="1"/>
    </xf>
    <xf numFmtId="3" fontId="27" fillId="5" borderId="7" xfId="0" applyNumberFormat="1" applyFont="1" applyFill="1" applyBorder="1" applyAlignment="1" applyProtection="1">
      <alignment vertical="center"/>
    </xf>
    <xf numFmtId="0" fontId="10" fillId="7" borderId="0" xfId="0" applyFont="1" applyFill="1" applyAlignment="1">
      <alignment horizontal="center" vertical="center" wrapText="1"/>
    </xf>
    <xf numFmtId="0" fontId="6" fillId="7" borderId="0" xfId="0" applyFont="1" applyFill="1" applyAlignment="1">
      <alignment horizontal="center" vertical="center" wrapText="1"/>
    </xf>
    <xf numFmtId="0" fontId="6" fillId="0" borderId="0" xfId="0" applyFont="1" applyBorder="1" applyAlignment="1" applyProtection="1">
      <alignment horizontal="right" vertical="center"/>
    </xf>
    <xf numFmtId="2" fontId="6" fillId="7" borderId="0" xfId="1" applyNumberFormat="1" applyFont="1" applyFill="1" applyBorder="1" applyAlignment="1" applyProtection="1">
      <alignment horizontal="center" vertical="center" wrapText="1"/>
    </xf>
    <xf numFmtId="0" fontId="38" fillId="4" borderId="3" xfId="0" applyFont="1" applyFill="1" applyBorder="1" applyAlignment="1">
      <alignment horizontal="left" vertical="center"/>
    </xf>
    <xf numFmtId="3" fontId="27" fillId="5" borderId="4" xfId="0" applyNumberFormat="1" applyFont="1" applyFill="1" applyBorder="1" applyAlignment="1" applyProtection="1">
      <alignment horizontal="right" vertical="center"/>
    </xf>
    <xf numFmtId="0" fontId="38" fillId="4" borderId="3" xfId="0" applyFont="1" applyFill="1" applyBorder="1" applyAlignment="1">
      <alignment horizontal="left" vertical="center" wrapText="1"/>
    </xf>
    <xf numFmtId="3" fontId="27" fillId="5" borderId="2" xfId="0" applyNumberFormat="1" applyFont="1" applyFill="1" applyBorder="1" applyAlignment="1" applyProtection="1">
      <alignment horizontal="right" vertical="center"/>
    </xf>
    <xf numFmtId="2" fontId="35" fillId="7" borderId="10" xfId="1" applyNumberFormat="1" applyFont="1" applyFill="1" applyBorder="1" applyAlignment="1" applyProtection="1">
      <alignment vertical="center"/>
    </xf>
    <xf numFmtId="2" fontId="35" fillId="7" borderId="0" xfId="1" applyNumberFormat="1" applyFont="1" applyFill="1" applyBorder="1" applyAlignment="1" applyProtection="1">
      <alignment horizontal="center" vertical="center" wrapText="1"/>
    </xf>
    <xf numFmtId="0" fontId="6" fillId="0" borderId="0" xfId="0" applyFont="1" applyAlignment="1" applyProtection="1">
      <alignment horizontal="right" vertical="center" wrapText="1"/>
      <protection hidden="1"/>
    </xf>
    <xf numFmtId="0" fontId="35" fillId="0" borderId="0" xfId="0" applyFont="1" applyFill="1" applyAlignment="1" applyProtection="1">
      <alignment horizontal="right" vertical="center"/>
    </xf>
    <xf numFmtId="0" fontId="38" fillId="4" borderId="0" xfId="0" applyFont="1" applyFill="1" applyAlignment="1">
      <alignment vertical="center" wrapText="1"/>
    </xf>
    <xf numFmtId="3" fontId="27" fillId="5" borderId="11" xfId="0" applyNumberFormat="1" applyFont="1" applyFill="1" applyBorder="1" applyAlignment="1" applyProtection="1">
      <alignment horizontal="right" vertical="center"/>
    </xf>
    <xf numFmtId="0" fontId="27" fillId="0" borderId="0" xfId="0" applyFont="1" applyAlignment="1">
      <alignment horizontal="left" vertical="center" wrapText="1"/>
    </xf>
    <xf numFmtId="2" fontId="27" fillId="0" borderId="7" xfId="0" applyNumberFormat="1" applyFont="1" applyBorder="1" applyAlignment="1" applyProtection="1">
      <alignment horizontal="right" vertical="center"/>
      <protection hidden="1"/>
    </xf>
    <xf numFmtId="0" fontId="27" fillId="0" borderId="7" xfId="0" applyFont="1" applyBorder="1" applyAlignment="1" applyProtection="1">
      <alignment horizontal="right" vertical="center"/>
      <protection hidden="1"/>
    </xf>
    <xf numFmtId="0" fontId="27" fillId="0" borderId="7" xfId="0" applyFont="1" applyBorder="1" applyAlignment="1" applyProtection="1">
      <alignment horizontal="right" vertical="center"/>
    </xf>
    <xf numFmtId="0" fontId="27" fillId="0" borderId="0" xfId="0" applyFont="1" applyBorder="1" applyAlignment="1" applyProtection="1">
      <alignment horizontal="right" vertical="center"/>
    </xf>
    <xf numFmtId="0" fontId="27" fillId="0" borderId="0" xfId="0" applyFont="1" applyAlignment="1" applyProtection="1">
      <alignment horizontal="right" vertical="center"/>
      <protection hidden="1"/>
    </xf>
    <xf numFmtId="0" fontId="27" fillId="0" borderId="0" xfId="0" applyFont="1" applyAlignment="1" applyProtection="1">
      <alignment horizontal="right" vertical="center"/>
    </xf>
    <xf numFmtId="2" fontId="36" fillId="5" borderId="2" xfId="0" applyNumberFormat="1" applyFont="1" applyFill="1" applyBorder="1" applyAlignment="1" applyProtection="1">
      <alignment horizontal="center" vertical="center"/>
      <protection hidden="1"/>
    </xf>
    <xf numFmtId="2" fontId="36" fillId="5" borderId="2" xfId="0" applyNumberFormat="1" applyFont="1" applyFill="1" applyBorder="1" applyAlignment="1" applyProtection="1">
      <alignment horizontal="right" vertical="center"/>
    </xf>
    <xf numFmtId="0" fontId="35" fillId="4" borderId="0" xfId="0" applyFont="1" applyFill="1" applyAlignment="1">
      <alignment horizontal="right" vertical="center" wrapText="1"/>
    </xf>
    <xf numFmtId="2" fontId="27" fillId="5" borderId="2" xfId="0" applyNumberFormat="1" applyFont="1" applyFill="1" applyBorder="1" applyAlignment="1" applyProtection="1">
      <alignment horizontal="center" vertical="center"/>
      <protection hidden="1"/>
    </xf>
    <xf numFmtId="2" fontId="27" fillId="5" borderId="2" xfId="0" applyNumberFormat="1" applyFont="1" applyFill="1" applyBorder="1" applyAlignment="1" applyProtection="1">
      <alignment horizontal="center" vertical="center"/>
    </xf>
    <xf numFmtId="2" fontId="27" fillId="5" borderId="1" xfId="0" applyNumberFormat="1" applyFont="1" applyFill="1" applyBorder="1" applyAlignment="1" applyProtection="1">
      <alignment horizontal="center" vertical="center"/>
      <protection hidden="1"/>
    </xf>
    <xf numFmtId="2" fontId="27" fillId="5" borderId="1" xfId="0" applyNumberFormat="1" applyFont="1" applyFill="1" applyBorder="1" applyAlignment="1" applyProtection="1">
      <alignment horizontal="center" vertical="center"/>
    </xf>
    <xf numFmtId="0" fontId="37" fillId="21" borderId="0" xfId="0" applyFont="1" applyFill="1" applyAlignment="1">
      <alignment vertical="center"/>
    </xf>
    <xf numFmtId="0" fontId="51" fillId="13" borderId="21" xfId="0" applyFont="1" applyFill="1" applyBorder="1" applyAlignment="1">
      <alignment horizontal="centerContinuous" vertical="center"/>
    </xf>
    <xf numFmtId="0" fontId="51" fillId="13" borderId="22" xfId="0" applyFont="1" applyFill="1" applyBorder="1" applyAlignment="1">
      <alignment horizontal="centerContinuous" vertical="center"/>
    </xf>
    <xf numFmtId="0" fontId="51" fillId="13" borderId="23" xfId="0" applyFont="1" applyFill="1" applyBorder="1" applyAlignment="1">
      <alignment horizontal="centerContinuous" vertical="center"/>
    </xf>
    <xf numFmtId="4" fontId="51" fillId="13" borderId="20" xfId="0" applyNumberFormat="1" applyFont="1" applyFill="1" applyBorder="1" applyAlignment="1" applyProtection="1">
      <alignment horizontal="center" vertical="center"/>
      <protection hidden="1"/>
    </xf>
    <xf numFmtId="4" fontId="51" fillId="13" borderId="24" xfId="0" applyNumberFormat="1" applyFont="1" applyFill="1" applyBorder="1" applyAlignment="1" applyProtection="1">
      <alignment horizontal="center" vertical="center"/>
      <protection hidden="1"/>
    </xf>
    <xf numFmtId="0" fontId="33" fillId="0" borderId="0" xfId="0" applyFont="1" applyFill="1" applyAlignment="1">
      <alignment horizontal="center" vertical="center"/>
    </xf>
    <xf numFmtId="0" fontId="38" fillId="21" borderId="0" xfId="0" applyFont="1" applyFill="1" applyAlignment="1">
      <alignment vertical="center"/>
    </xf>
    <xf numFmtId="0" fontId="38" fillId="20" borderId="21" xfId="0" applyFont="1" applyFill="1" applyBorder="1" applyAlignment="1">
      <alignment horizontal="centerContinuous" vertical="center"/>
    </xf>
    <xf numFmtId="0" fontId="13" fillId="0" borderId="0" xfId="0" applyFont="1" applyFill="1" applyAlignment="1">
      <alignment horizontal="center" vertical="center"/>
    </xf>
    <xf numFmtId="0" fontId="38" fillId="20" borderId="21" xfId="0" applyFont="1" applyFill="1" applyBorder="1" applyAlignment="1" applyProtection="1">
      <alignment horizontal="centerContinuous" vertical="center" wrapText="1"/>
    </xf>
    <xf numFmtId="2" fontId="33" fillId="20" borderId="22" xfId="0" applyNumberFormat="1" applyFont="1" applyFill="1" applyBorder="1" applyAlignment="1">
      <alignment horizontal="centerContinuous" vertical="center"/>
    </xf>
    <xf numFmtId="2" fontId="33" fillId="20" borderId="23" xfId="0" applyNumberFormat="1" applyFont="1" applyFill="1" applyBorder="1" applyAlignment="1">
      <alignment horizontal="centerContinuous" vertical="center"/>
    </xf>
    <xf numFmtId="0" fontId="6" fillId="0" borderId="0" xfId="0" applyFont="1" applyFill="1" applyAlignment="1">
      <alignment horizontal="center" vertical="center"/>
    </xf>
    <xf numFmtId="0" fontId="23" fillId="3" borderId="0" xfId="0" applyFont="1" applyFill="1" applyAlignment="1">
      <alignment horizontal="center" vertical="center"/>
    </xf>
    <xf numFmtId="0" fontId="23" fillId="0" borderId="0" xfId="0" applyFont="1" applyFill="1" applyAlignment="1">
      <alignment horizontal="center" vertical="center"/>
    </xf>
    <xf numFmtId="0" fontId="23" fillId="17" borderId="0" xfId="0" applyFont="1" applyFill="1" applyAlignment="1">
      <alignment horizontal="center" vertical="center"/>
    </xf>
    <xf numFmtId="0" fontId="23" fillId="7" borderId="0" xfId="0" applyFont="1" applyFill="1" applyAlignment="1">
      <alignment horizontal="left" vertical="center"/>
    </xf>
    <xf numFmtId="169" fontId="6" fillId="0" borderId="0" xfId="0" applyNumberFormat="1" applyFont="1" applyAlignment="1">
      <alignment vertical="center"/>
    </xf>
    <xf numFmtId="0" fontId="26" fillId="5" borderId="2"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0" xfId="0" applyFont="1" applyFill="1" applyBorder="1" applyAlignment="1">
      <alignment horizontal="center" vertical="center" wrapText="1"/>
    </xf>
    <xf numFmtId="169" fontId="6" fillId="0" borderId="0" xfId="0" applyNumberFormat="1" applyFont="1" applyAlignment="1">
      <alignment vertical="center" wrapText="1"/>
    </xf>
    <xf numFmtId="0" fontId="9" fillId="7" borderId="2" xfId="0" quotePrefix="1" applyFont="1" applyFill="1" applyBorder="1" applyAlignment="1">
      <alignment horizontal="center" vertical="center"/>
    </xf>
    <xf numFmtId="0" fontId="10" fillId="9" borderId="4"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7" borderId="0" xfId="0" quotePrefix="1" applyFont="1" applyFill="1" applyAlignment="1">
      <alignment horizontal="center" vertical="center"/>
    </xf>
    <xf numFmtId="3" fontId="27" fillId="11" borderId="2" xfId="0" applyNumberFormat="1" applyFont="1" applyFill="1" applyBorder="1" applyAlignment="1">
      <alignment horizontal="center" vertical="center"/>
    </xf>
    <xf numFmtId="0" fontId="6" fillId="7" borderId="8" xfId="0" quotePrefix="1" applyFont="1" applyFill="1" applyBorder="1" applyAlignment="1">
      <alignment horizontal="center" vertical="center"/>
    </xf>
    <xf numFmtId="0" fontId="6" fillId="7" borderId="13"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2" xfId="0" quotePrefix="1" applyFont="1" applyFill="1" applyBorder="1" applyAlignment="1">
      <alignment horizontal="center" vertical="center"/>
    </xf>
    <xf numFmtId="4" fontId="27" fillId="11" borderId="2" xfId="0" applyNumberFormat="1" applyFont="1" applyFill="1" applyBorder="1" applyAlignment="1">
      <alignment horizontal="center" vertical="center"/>
    </xf>
    <xf numFmtId="2" fontId="13" fillId="7" borderId="0" xfId="0" applyNumberFormat="1" applyFont="1" applyFill="1" applyAlignment="1">
      <alignment horizontal="right" vertical="center"/>
    </xf>
    <xf numFmtId="2" fontId="13" fillId="0" borderId="0" xfId="0" applyNumberFormat="1" applyFont="1" applyAlignment="1">
      <alignment horizontal="right" vertical="center"/>
    </xf>
    <xf numFmtId="4" fontId="6" fillId="7" borderId="0" xfId="0" applyNumberFormat="1" applyFont="1" applyFill="1" applyAlignment="1">
      <alignment horizontal="center" vertical="center"/>
    </xf>
    <xf numFmtId="2" fontId="13" fillId="7" borderId="0" xfId="0" applyNumberFormat="1" applyFont="1" applyFill="1" applyAlignment="1">
      <alignment horizontal="center" vertical="center"/>
    </xf>
    <xf numFmtId="0" fontId="11" fillId="7" borderId="2" xfId="0" applyFont="1" applyFill="1" applyBorder="1" applyAlignment="1">
      <alignment horizontal="center" vertical="center"/>
    </xf>
    <xf numFmtId="9" fontId="6" fillId="0" borderId="0" xfId="0" applyNumberFormat="1" applyFont="1" applyAlignment="1">
      <alignment vertical="center"/>
    </xf>
    <xf numFmtId="0" fontId="6" fillId="7" borderId="19" xfId="0" applyFont="1" applyFill="1" applyBorder="1" applyAlignment="1">
      <alignment vertical="center"/>
    </xf>
    <xf numFmtId="0" fontId="6" fillId="7" borderId="19" xfId="0" applyFont="1" applyFill="1" applyBorder="1" applyAlignment="1">
      <alignment horizontal="center" vertical="center"/>
    </xf>
    <xf numFmtId="3" fontId="27" fillId="11" borderId="19" xfId="0" applyNumberFormat="1" applyFont="1" applyFill="1" applyBorder="1" applyAlignment="1">
      <alignment horizontal="center" vertical="center"/>
    </xf>
    <xf numFmtId="0" fontId="6" fillId="7" borderId="4" xfId="0" applyFont="1" applyFill="1" applyBorder="1" applyAlignment="1">
      <alignment vertical="center"/>
    </xf>
    <xf numFmtId="0" fontId="6" fillId="7" borderId="4" xfId="0" applyFont="1" applyFill="1" applyBorder="1" applyAlignment="1">
      <alignment horizontal="center" vertical="center"/>
    </xf>
    <xf numFmtId="3" fontId="27" fillId="11" borderId="4" xfId="0" applyNumberFormat="1" applyFont="1" applyFill="1" applyBorder="1" applyAlignment="1">
      <alignment horizontal="center" vertical="center"/>
    </xf>
    <xf numFmtId="3" fontId="36" fillId="11" borderId="2" xfId="0" applyNumberFormat="1" applyFont="1" applyFill="1" applyBorder="1" applyAlignment="1">
      <alignment horizontal="center" vertical="center"/>
    </xf>
    <xf numFmtId="0" fontId="6" fillId="7" borderId="2" xfId="0" applyFont="1" applyFill="1" applyBorder="1" applyAlignment="1">
      <alignment horizontal="right" vertical="center"/>
    </xf>
    <xf numFmtId="3" fontId="6" fillId="0" borderId="0" xfId="0" applyNumberFormat="1" applyFont="1" applyAlignment="1">
      <alignment vertical="center"/>
    </xf>
    <xf numFmtId="0" fontId="23" fillId="0" borderId="0" xfId="0" applyFont="1" applyFill="1"/>
    <xf numFmtId="0" fontId="10" fillId="0" borderId="0" xfId="0" applyFont="1" applyFill="1"/>
    <xf numFmtId="0" fontId="10" fillId="0" borderId="0" xfId="0" applyFont="1"/>
    <xf numFmtId="0" fontId="18" fillId="22" borderId="26" xfId="0" applyFont="1" applyFill="1" applyBorder="1" applyAlignment="1">
      <alignment horizontal="center" vertical="center" wrapText="1"/>
    </xf>
    <xf numFmtId="0" fontId="18" fillId="22" borderId="27" xfId="0" applyFont="1" applyFill="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5" xfId="0" applyFont="1" applyBorder="1" applyAlignment="1">
      <alignment horizontal="center" vertical="center" wrapText="1"/>
    </xf>
    <xf numFmtId="0" fontId="6" fillId="0" borderId="39" xfId="0" applyFont="1" applyBorder="1"/>
    <xf numFmtId="0" fontId="6" fillId="0" borderId="40" xfId="0" applyFont="1" applyBorder="1"/>
    <xf numFmtId="0" fontId="6" fillId="0" borderId="41" xfId="0" applyFont="1" applyBorder="1"/>
    <xf numFmtId="0" fontId="6" fillId="0" borderId="10" xfId="0" applyFont="1" applyBorder="1"/>
    <xf numFmtId="0" fontId="6" fillId="0" borderId="3" xfId="0" applyFont="1" applyBorder="1"/>
    <xf numFmtId="0" fontId="6" fillId="0" borderId="14" xfId="0" applyFont="1" applyBorder="1"/>
    <xf numFmtId="0" fontId="6" fillId="0" borderId="3" xfId="0" applyFont="1" applyBorder="1" applyAlignment="1">
      <alignment wrapText="1"/>
    </xf>
    <xf numFmtId="0" fontId="6" fillId="7" borderId="0" xfId="0" applyFont="1" applyFill="1" applyBorder="1" applyAlignment="1">
      <alignment horizontal="left" vertical="center"/>
    </xf>
    <xf numFmtId="0" fontId="6" fillId="0" borderId="43" xfId="0" applyFont="1" applyBorder="1" applyAlignment="1"/>
    <xf numFmtId="0" fontId="6" fillId="0" borderId="23" xfId="0" applyFont="1" applyFill="1" applyBorder="1" applyAlignment="1" applyProtection="1">
      <alignment wrapText="1"/>
      <protection hidden="1"/>
    </xf>
    <xf numFmtId="0" fontId="13" fillId="0" borderId="0" xfId="0" applyFont="1" applyFill="1" applyAlignment="1">
      <alignment horizontal="left" wrapText="1"/>
    </xf>
    <xf numFmtId="0" fontId="13" fillId="0" borderId="49" xfId="0" applyFont="1" applyFill="1" applyBorder="1" applyAlignment="1">
      <alignment horizontal="left" wrapText="1"/>
    </xf>
    <xf numFmtId="0" fontId="23" fillId="3" borderId="0" xfId="0" applyFont="1" applyFill="1" applyAlignment="1">
      <alignment horizontal="center" vertical="center" wrapText="1"/>
    </xf>
    <xf numFmtId="49" fontId="6" fillId="12" borderId="2"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0" fontId="47" fillId="0" borderId="0" xfId="0" applyFont="1" applyAlignment="1">
      <alignment horizontal="left" vertical="center"/>
    </xf>
    <xf numFmtId="0" fontId="54" fillId="15" borderId="0" xfId="2" applyFont="1" applyFill="1" applyAlignment="1" applyProtection="1">
      <alignment horizontal="left" vertical="center"/>
      <protection locked="0"/>
    </xf>
    <xf numFmtId="0" fontId="19" fillId="15" borderId="2" xfId="0" applyFont="1" applyFill="1" applyBorder="1" applyAlignment="1">
      <alignment horizontal="center" vertical="center"/>
    </xf>
    <xf numFmtId="0" fontId="19" fillId="0" borderId="10" xfId="0" applyFont="1" applyBorder="1" applyAlignment="1">
      <alignment horizontal="center" vertical="center"/>
    </xf>
    <xf numFmtId="0" fontId="19" fillId="0" borderId="0" xfId="0" applyFont="1" applyFill="1" applyAlignment="1">
      <alignment horizontal="center" vertical="center"/>
    </xf>
    <xf numFmtId="0" fontId="19" fillId="7" borderId="0" xfId="0" applyFont="1" applyFill="1" applyAlignment="1">
      <alignment vertical="center"/>
    </xf>
    <xf numFmtId="0" fontId="55" fillId="0" borderId="0" xfId="0" applyFont="1" applyAlignment="1">
      <alignment horizontal="center" vertical="center" wrapText="1"/>
    </xf>
    <xf numFmtId="2" fontId="19" fillId="7" borderId="10" xfId="1" applyNumberFormat="1" applyFont="1" applyFill="1" applyBorder="1" applyAlignment="1" applyProtection="1">
      <alignment vertical="center"/>
    </xf>
    <xf numFmtId="0" fontId="19" fillId="0" borderId="0" xfId="0" applyFont="1" applyAlignment="1">
      <alignment horizontal="center" vertical="center" wrapText="1"/>
    </xf>
    <xf numFmtId="0" fontId="55" fillId="0" borderId="10" xfId="0" applyFont="1" applyBorder="1" applyAlignment="1">
      <alignment horizontal="center" vertical="center"/>
    </xf>
    <xf numFmtId="49" fontId="6" fillId="0" borderId="2" xfId="0"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10" fillId="0" borderId="0" xfId="0" applyFont="1" applyAlignment="1" applyProtection="1">
      <alignment horizontal="center" vertical="center"/>
      <protection hidden="1"/>
    </xf>
    <xf numFmtId="0" fontId="6" fillId="0" borderId="25" xfId="0" applyFont="1" applyBorder="1" applyAlignment="1" applyProtection="1">
      <alignment vertical="top" wrapText="1"/>
      <protection hidden="1"/>
    </xf>
    <xf numFmtId="0" fontId="56" fillId="0" borderId="43" xfId="0" applyFont="1" applyBorder="1"/>
    <xf numFmtId="0" fontId="56" fillId="0" borderId="25" xfId="0" applyFont="1" applyBorder="1" applyAlignment="1"/>
    <xf numFmtId="0" fontId="56" fillId="0" borderId="0" xfId="0" applyFont="1"/>
    <xf numFmtId="0" fontId="15" fillId="0" borderId="25" xfId="0" applyFont="1" applyBorder="1" applyAlignment="1">
      <alignment wrapText="1"/>
    </xf>
    <xf numFmtId="0" fontId="6" fillId="0" borderId="42" xfId="0" applyFont="1" applyFill="1" applyBorder="1" applyAlignment="1" applyProtection="1">
      <alignment horizontal="centerContinuous" vertical="center" wrapText="1"/>
      <protection hidden="1"/>
    </xf>
    <xf numFmtId="0" fontId="6" fillId="0" borderId="21" xfId="0" applyFont="1" applyFill="1" applyBorder="1" applyAlignment="1" applyProtection="1">
      <alignment vertical="top" wrapText="1"/>
      <protection hidden="1"/>
    </xf>
    <xf numFmtId="0" fontId="7" fillId="0" borderId="0" xfId="0" applyFont="1" applyAlignment="1" applyProtection="1">
      <alignment horizontal="left" vertical="center"/>
      <protection locked="0"/>
    </xf>
    <xf numFmtId="0" fontId="0" fillId="0" borderId="0" xfId="0" applyProtection="1">
      <protection locked="0"/>
    </xf>
    <xf numFmtId="0" fontId="23" fillId="0" borderId="0" xfId="0" applyFont="1" applyAlignment="1" applyProtection="1">
      <alignment horizontal="left" vertical="center"/>
      <protection locked="0"/>
    </xf>
    <xf numFmtId="0" fontId="57" fillId="0" borderId="0" xfId="0" applyFont="1" applyProtection="1">
      <protection locked="0"/>
    </xf>
    <xf numFmtId="0" fontId="16" fillId="0" borderId="45" xfId="0" applyFont="1" applyBorder="1" applyAlignment="1" applyProtection="1">
      <alignment wrapText="1"/>
      <protection hidden="1"/>
    </xf>
    <xf numFmtId="0" fontId="15" fillId="0" borderId="46" xfId="0" applyFont="1" applyBorder="1" applyAlignment="1" applyProtection="1">
      <alignment wrapText="1"/>
      <protection hidden="1"/>
    </xf>
    <xf numFmtId="4" fontId="38" fillId="0" borderId="43" xfId="0" applyNumberFormat="1" applyFont="1" applyFill="1" applyBorder="1" applyAlignment="1">
      <alignment horizontal="centerContinuous" vertical="center"/>
    </xf>
    <xf numFmtId="0" fontId="38" fillId="0" borderId="0" xfId="0" applyFont="1" applyFill="1" applyBorder="1" applyAlignment="1">
      <alignment horizontal="center" vertical="center"/>
    </xf>
    <xf numFmtId="4" fontId="38" fillId="0" borderId="42" xfId="0" applyNumberFormat="1" applyFont="1" applyFill="1" applyBorder="1" applyAlignment="1">
      <alignment horizontal="centerContinuous" vertical="center"/>
    </xf>
    <xf numFmtId="0" fontId="38" fillId="0" borderId="0" xfId="0" applyFont="1" applyFill="1" applyAlignment="1" applyProtection="1">
      <alignment vertical="center" wrapText="1"/>
    </xf>
    <xf numFmtId="0" fontId="13" fillId="0" borderId="0" xfId="0" applyFont="1" applyFill="1" applyAlignment="1">
      <alignment horizontal="center" vertical="center"/>
    </xf>
    <xf numFmtId="0" fontId="27" fillId="5" borderId="5" xfId="0" applyFont="1" applyFill="1" applyBorder="1" applyAlignment="1">
      <alignment horizontal="left" vertical="center"/>
    </xf>
    <xf numFmtId="0" fontId="27" fillId="5" borderId="7" xfId="0" applyFont="1" applyFill="1" applyBorder="1" applyAlignment="1">
      <alignment horizontal="left" vertical="center"/>
    </xf>
    <xf numFmtId="0" fontId="27" fillId="5" borderId="6" xfId="0" applyFont="1" applyFill="1" applyBorder="1" applyAlignment="1">
      <alignment horizontal="left" vertical="center"/>
    </xf>
    <xf numFmtId="0" fontId="36" fillId="5" borderId="5" xfId="0" applyFont="1" applyFill="1" applyBorder="1" applyAlignment="1">
      <alignment horizontal="left" vertical="center"/>
    </xf>
    <xf numFmtId="0" fontId="36" fillId="5" borderId="7" xfId="0" applyFont="1" applyFill="1" applyBorder="1" applyAlignment="1">
      <alignment horizontal="left" vertical="center"/>
    </xf>
    <xf numFmtId="0" fontId="36" fillId="5" borderId="6" xfId="0" applyFont="1" applyFill="1" applyBorder="1" applyAlignment="1">
      <alignment horizontal="left" vertical="center"/>
    </xf>
    <xf numFmtId="0" fontId="27" fillId="5" borderId="11"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27" fillId="5" borderId="9" xfId="0" applyFont="1" applyFill="1" applyBorder="1" applyAlignment="1">
      <alignment horizontal="left" vertical="center" wrapText="1"/>
    </xf>
    <xf numFmtId="0" fontId="27" fillId="5" borderId="5" xfId="0" applyFont="1" applyFill="1" applyBorder="1" applyAlignment="1">
      <alignment horizontal="left" vertical="center" wrapText="1"/>
    </xf>
    <xf numFmtId="0" fontId="27" fillId="5" borderId="7"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38" fillId="4" borderId="9" xfId="0" applyFont="1" applyFill="1" applyBorder="1" applyAlignment="1">
      <alignment horizontal="left" vertical="center" wrapText="1"/>
    </xf>
    <xf numFmtId="0" fontId="38" fillId="4" borderId="10"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8" fillId="0" borderId="0" xfId="0" applyFont="1" applyAlignment="1">
      <alignment horizontal="center" vertical="center"/>
    </xf>
    <xf numFmtId="0" fontId="20" fillId="4" borderId="14" xfId="0" applyFont="1" applyFill="1" applyBorder="1" applyAlignment="1">
      <alignment horizontal="center" vertical="center"/>
    </xf>
    <xf numFmtId="0" fontId="20" fillId="4" borderId="10" xfId="0" applyFont="1" applyFill="1" applyBorder="1" applyAlignment="1">
      <alignment horizontal="center" vertical="center"/>
    </xf>
    <xf numFmtId="0" fontId="6" fillId="9" borderId="5" xfId="0" applyFont="1" applyFill="1" applyBorder="1" applyAlignment="1">
      <alignment horizontal="left" vertical="center"/>
    </xf>
    <xf numFmtId="0" fontId="6" fillId="9" borderId="6" xfId="0" applyFont="1" applyFill="1" applyBorder="1" applyAlignment="1">
      <alignment horizontal="left" vertical="center"/>
    </xf>
    <xf numFmtId="0" fontId="20" fillId="4" borderId="2" xfId="0" applyFont="1" applyFill="1" applyBorder="1" applyAlignment="1">
      <alignment horizontal="left" vertical="center"/>
    </xf>
    <xf numFmtId="0" fontId="6" fillId="9" borderId="5" xfId="0" applyFont="1" applyFill="1" applyBorder="1" applyAlignment="1">
      <alignment horizontal="left" vertical="center" wrapText="1"/>
    </xf>
    <xf numFmtId="0" fontId="6" fillId="9" borderId="6" xfId="0" applyFont="1" applyFill="1" applyBorder="1" applyAlignment="1">
      <alignment horizontal="left" vertical="center" wrapText="1"/>
    </xf>
    <xf numFmtId="0" fontId="26" fillId="5" borderId="5" xfId="0" applyFont="1" applyFill="1" applyBorder="1" applyAlignment="1">
      <alignment horizontal="center" vertical="center"/>
    </xf>
    <xf numFmtId="0" fontId="26" fillId="5" borderId="6" xfId="0" applyFont="1" applyFill="1" applyBorder="1" applyAlignment="1">
      <alignment horizontal="center" vertical="center"/>
    </xf>
    <xf numFmtId="0" fontId="13" fillId="10" borderId="5" xfId="0" applyFont="1" applyFill="1" applyBorder="1" applyAlignment="1">
      <alignment horizontal="center" vertical="center"/>
    </xf>
    <xf numFmtId="0" fontId="13" fillId="10" borderId="6" xfId="0" applyFont="1" applyFill="1" applyBorder="1" applyAlignment="1">
      <alignment horizontal="center" vertical="center"/>
    </xf>
    <xf numFmtId="0" fontId="6" fillId="0" borderId="0" xfId="0" applyFont="1" applyFill="1"/>
    <xf numFmtId="0" fontId="10" fillId="9" borderId="0" xfId="0" applyFont="1" applyFill="1" applyAlignment="1">
      <alignment horizontal="right" vertical="center"/>
    </xf>
    <xf numFmtId="0" fontId="10" fillId="9" borderId="10" xfId="0" applyFont="1" applyFill="1" applyBorder="1" applyAlignment="1">
      <alignment horizontal="right" vertical="center"/>
    </xf>
    <xf numFmtId="0" fontId="10" fillId="9" borderId="13" xfId="0" applyFont="1" applyFill="1" applyBorder="1" applyAlignment="1">
      <alignment horizontal="right" vertical="center"/>
    </xf>
    <xf numFmtId="0" fontId="10" fillId="9" borderId="15" xfId="0" applyFont="1" applyFill="1" applyBorder="1" applyAlignment="1">
      <alignment horizontal="right" vertical="center"/>
    </xf>
    <xf numFmtId="0" fontId="6" fillId="7" borderId="1"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14" fontId="9" fillId="7" borderId="0" xfId="0" applyNumberFormat="1" applyFont="1" applyFill="1" applyBorder="1" applyAlignment="1">
      <alignment horizontal="right" vertical="center" wrapText="1"/>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21" fillId="7" borderId="1" xfId="0" applyFont="1" applyFill="1" applyBorder="1" applyAlignment="1">
      <alignment horizontal="center" vertical="center" textRotation="90"/>
    </xf>
    <xf numFmtId="0" fontId="21" fillId="7" borderId="3" xfId="0" applyFont="1" applyFill="1" applyBorder="1" applyAlignment="1">
      <alignment horizontal="center" vertical="center" textRotation="90"/>
    </xf>
    <xf numFmtId="0" fontId="21" fillId="7" borderId="4" xfId="0" applyFont="1" applyFill="1" applyBorder="1" applyAlignment="1">
      <alignment horizontal="center" vertical="center" textRotation="90"/>
    </xf>
    <xf numFmtId="0" fontId="6" fillId="7" borderId="2" xfId="0" applyFont="1" applyFill="1" applyBorder="1" applyAlignment="1">
      <alignment horizontal="left" vertical="center" wrapText="1"/>
    </xf>
    <xf numFmtId="0" fontId="6" fillId="7" borderId="5"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6" xfId="0" applyFont="1" applyFill="1" applyBorder="1" applyAlignment="1">
      <alignment horizontal="left" vertical="center" wrapText="1"/>
    </xf>
    <xf numFmtId="0" fontId="6" fillId="9" borderId="7" xfId="0" applyFont="1" applyFill="1" applyBorder="1" applyAlignment="1">
      <alignment horizontal="left" vertical="center"/>
    </xf>
    <xf numFmtId="0" fontId="6" fillId="9" borderId="5" xfId="0" applyFont="1" applyFill="1" applyBorder="1" applyAlignment="1">
      <alignment horizontal="center" vertical="center"/>
    </xf>
    <xf numFmtId="0" fontId="6"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9" borderId="1" xfId="0" applyFont="1" applyFill="1" applyBorder="1" applyAlignment="1">
      <alignment horizontal="center" vertical="center" textRotation="90"/>
    </xf>
    <xf numFmtId="0" fontId="10" fillId="9" borderId="3" xfId="0" applyFont="1" applyFill="1" applyBorder="1" applyAlignment="1">
      <alignment horizontal="center" vertical="center" textRotation="90"/>
    </xf>
    <xf numFmtId="0" fontId="10" fillId="9" borderId="4" xfId="0" applyFont="1" applyFill="1" applyBorder="1" applyAlignment="1">
      <alignment horizontal="center" vertical="center" textRotation="90"/>
    </xf>
    <xf numFmtId="0" fontId="20" fillId="4" borderId="12" xfId="0" applyFont="1" applyFill="1" applyBorder="1" applyAlignment="1">
      <alignment horizontal="center" vertical="center" wrapText="1"/>
    </xf>
    <xf numFmtId="0" fontId="20" fillId="4" borderId="0" xfId="0" applyFont="1" applyFill="1" applyAlignment="1">
      <alignment horizontal="center" vertical="center" wrapText="1"/>
    </xf>
    <xf numFmtId="0" fontId="10" fillId="9" borderId="11" xfId="0" applyFont="1" applyFill="1" applyBorder="1" applyAlignment="1">
      <alignment horizontal="left" vertical="center"/>
    </xf>
    <xf numFmtId="0" fontId="10" fillId="9" borderId="12" xfId="0" applyFont="1" applyFill="1" applyBorder="1" applyAlignment="1">
      <alignment horizontal="left" vertical="center"/>
    </xf>
    <xf numFmtId="0" fontId="10" fillId="9" borderId="9" xfId="0" applyFont="1" applyFill="1" applyBorder="1" applyAlignment="1">
      <alignment horizontal="left" vertical="center"/>
    </xf>
    <xf numFmtId="0" fontId="10" fillId="9" borderId="8" xfId="0" applyFont="1" applyFill="1" applyBorder="1" applyAlignment="1">
      <alignment horizontal="left" vertical="center"/>
    </xf>
    <xf numFmtId="0" fontId="10" fillId="9" borderId="13" xfId="0" applyFont="1" applyFill="1" applyBorder="1" applyAlignment="1">
      <alignment horizontal="left" vertical="center"/>
    </xf>
    <xf numFmtId="0" fontId="10" fillId="9" borderId="15" xfId="0" applyFont="1" applyFill="1" applyBorder="1" applyAlignment="1">
      <alignment horizontal="left" vertical="center"/>
    </xf>
    <xf numFmtId="0" fontId="6" fillId="9" borderId="2" xfId="0" applyFont="1" applyFill="1" applyBorder="1" applyAlignment="1">
      <alignment horizontal="left" vertical="center"/>
    </xf>
    <xf numFmtId="0" fontId="6" fillId="9" borderId="2" xfId="0" applyFont="1" applyFill="1" applyBorder="1" applyAlignment="1">
      <alignment horizontal="center" vertical="center" textRotation="90" wrapText="1"/>
    </xf>
    <xf numFmtId="0" fontId="10" fillId="9" borderId="0" xfId="0" applyFont="1" applyFill="1" applyAlignment="1">
      <alignment horizontal="center" vertical="center"/>
    </xf>
    <xf numFmtId="0" fontId="20" fillId="4" borderId="1"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6" fillId="9" borderId="7"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6" xfId="0" applyFont="1" applyFill="1" applyBorder="1" applyAlignment="1">
      <alignment horizontal="center" vertical="center"/>
    </xf>
    <xf numFmtId="0" fontId="10" fillId="9" borderId="0" xfId="0" applyFont="1" applyFill="1" applyAlignment="1">
      <alignment horizontal="center" vertical="center" wrapText="1"/>
    </xf>
    <xf numFmtId="0" fontId="20" fillId="4" borderId="1" xfId="0" applyFont="1" applyFill="1" applyBorder="1" applyAlignment="1">
      <alignment horizontal="left" vertical="center"/>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27"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5"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0" xfId="0" applyFont="1" applyBorder="1" applyAlignment="1">
      <alignment horizontal="center" vertical="center" wrapText="1"/>
    </xf>
    <xf numFmtId="0" fontId="52" fillId="0" borderId="35"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29" xfId="0" applyFont="1" applyBorder="1" applyAlignment="1">
      <alignment horizontal="center" vertical="center" wrapText="1"/>
    </xf>
  </cellXfs>
  <cellStyles count="4">
    <cellStyle name="Link" xfId="2" builtinId="8"/>
    <cellStyle name="Prozent" xfId="1" builtinId="5"/>
    <cellStyle name="Standard" xfId="0" builtinId="0"/>
    <cellStyle name="Stil 1" xfId="3" xr:uid="{847E9A15-9AA1-4C4D-856A-D4E785824CBF}"/>
  </cellStyles>
  <dxfs count="107">
    <dxf>
      <font>
        <strike val="0"/>
        <outline val="0"/>
        <shadow val="0"/>
        <u val="none"/>
        <vertAlign val="baseline"/>
        <color theme="1"/>
        <name val="BundesSerif Office"/>
        <family val="1"/>
        <scheme val="none"/>
      </font>
      <border diagonalUp="0" diagonalDown="0" outline="0">
        <left style="thin">
          <color indexed="64"/>
        </left>
        <right/>
        <top/>
        <bottom/>
      </border>
    </dxf>
    <dxf>
      <font>
        <strike val="0"/>
        <outline val="0"/>
        <shadow val="0"/>
        <u val="none"/>
        <vertAlign val="baseline"/>
        <color theme="1"/>
        <name val="BundesSerif Office"/>
        <family val="1"/>
        <scheme val="none"/>
      </font>
      <border diagonalUp="0" diagonalDown="0" outline="0">
        <left style="thin">
          <color indexed="64"/>
        </left>
        <right style="thin">
          <color indexed="64"/>
        </right>
        <top/>
        <bottom/>
      </border>
    </dxf>
    <dxf>
      <font>
        <strike val="0"/>
        <outline val="0"/>
        <shadow val="0"/>
        <u val="none"/>
        <vertAlign val="baseline"/>
        <color theme="1"/>
        <name val="BundesSerif Office"/>
        <family val="1"/>
        <scheme val="none"/>
      </font>
      <border diagonalUp="0" diagonalDown="0" outline="0">
        <left style="thin">
          <color indexed="64"/>
        </left>
        <right style="thin">
          <color indexed="64"/>
        </right>
        <top/>
        <bottom/>
      </border>
    </dxf>
    <dxf>
      <font>
        <strike val="0"/>
        <outline val="0"/>
        <shadow val="0"/>
        <u val="none"/>
        <vertAlign val="baseline"/>
        <color theme="1"/>
        <name val="BundesSerif Office"/>
        <family val="1"/>
        <scheme val="none"/>
      </font>
      <border diagonalUp="0" diagonalDown="0" outline="0">
        <left/>
        <right style="thin">
          <color indexed="64"/>
        </right>
        <top/>
        <bottom/>
      </border>
    </dxf>
    <dxf>
      <border diagonalUp="0" diagonalDown="0">
        <left style="thick">
          <color auto="1"/>
        </left>
        <right style="thick">
          <color auto="1"/>
        </right>
        <top style="thick">
          <color auto="1"/>
        </top>
        <bottom style="thick">
          <color auto="1"/>
        </bottom>
      </border>
    </dxf>
    <dxf>
      <font>
        <strike val="0"/>
        <outline val="0"/>
        <shadow val="0"/>
        <u val="none"/>
        <vertAlign val="baseline"/>
        <color theme="1"/>
        <name val="BundesSerif Office"/>
        <family val="1"/>
        <scheme val="none"/>
      </font>
    </dxf>
    <dxf>
      <border>
        <bottom style="thick">
          <color indexed="64"/>
        </bottom>
      </border>
    </dxf>
    <dxf>
      <font>
        <strike val="0"/>
        <outline val="0"/>
        <shadow val="0"/>
        <u val="none"/>
        <vertAlign val="baseline"/>
        <color theme="1"/>
        <name val="BundesSerif Office"/>
        <family val="1"/>
        <scheme val="none"/>
      </font>
      <border diagonalUp="0" diagonalDown="0" outline="0">
        <left style="thin">
          <color indexed="64"/>
        </left>
        <right style="thin">
          <color indexed="64"/>
        </right>
        <top/>
        <bottom/>
      </border>
    </dxf>
    <dxf>
      <font>
        <color theme="2"/>
      </font>
    </dxf>
    <dxf>
      <font>
        <color theme="2"/>
      </font>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outline val="0"/>
        <shadow val="0"/>
        <u val="none"/>
        <vertAlign val="baseline"/>
        <name val="BundesSerif Office"/>
        <family val="1"/>
        <scheme val="none"/>
      </font>
      <alignment horizontal="general" vertical="center" textRotation="0" wrapText="0" indent="0" justifyLastLine="0" shrinkToFit="0" readingOrder="0"/>
    </dxf>
    <dxf>
      <font>
        <outline val="0"/>
        <shadow val="0"/>
        <u val="none"/>
        <vertAlign val="baseline"/>
        <name val="BundesSerif Office"/>
        <family val="1"/>
        <scheme val="none"/>
      </font>
      <alignment horizontal="general" vertical="center" textRotation="0" wrapText="0" indent="0" justifyLastLine="0" shrinkToFit="0" readingOrder="0"/>
    </dxf>
    <dxf>
      <font>
        <outline val="0"/>
        <shadow val="0"/>
        <u val="none"/>
        <vertAlign val="baseline"/>
        <name val="BundesSerif Office"/>
        <family val="1"/>
        <scheme val="none"/>
      </font>
      <alignment horizontal="general" vertical="center" textRotation="0" wrapText="0" indent="0" justifyLastLine="0" shrinkToFit="0" readingOrder="0"/>
    </dxf>
    <dxf>
      <font>
        <outline val="0"/>
        <shadow val="0"/>
        <u val="none"/>
        <vertAlign val="baseline"/>
        <name val="BundesSerif Office"/>
        <family val="1"/>
        <scheme val="none"/>
      </font>
      <alignment vertical="center" textRotation="0" indent="0" justifyLastLine="0" shrinkToFit="0" readingOrder="0"/>
    </dxf>
    <dxf>
      <font>
        <outline val="0"/>
        <shadow val="0"/>
        <u val="none"/>
        <vertAlign val="baseline"/>
        <name val="BundesSerif Office"/>
        <family val="1"/>
        <scheme val="none"/>
      </font>
      <alignment horizontal="general" vertical="center" textRotation="0" wrapText="1" indent="0" justifyLastLine="0" shrinkToFit="0" readingOrder="0"/>
    </dxf>
    <dxf>
      <font>
        <outline val="0"/>
        <shadow val="0"/>
        <u val="none"/>
        <vertAlign val="baseline"/>
        <name val="BundesSerif Office"/>
        <family val="1"/>
        <scheme val="none"/>
      </font>
      <alignment horizontal="general" vertical="center" textRotation="0" wrapText="0" indent="0" justifyLastLine="0" shrinkToFit="0" readingOrder="0"/>
    </dxf>
    <dxf>
      <font>
        <outline val="0"/>
        <shadow val="0"/>
        <u val="none"/>
        <vertAlign val="baseline"/>
        <name val="BundesSerif Office"/>
        <family val="1"/>
        <scheme val="none"/>
      </font>
      <alignment vertical="center" textRotation="0" indent="0" justifyLastLine="0" shrinkToFit="0" readingOrder="0"/>
    </dxf>
    <dxf>
      <font>
        <outline val="0"/>
        <shadow val="0"/>
        <u val="none"/>
        <vertAlign val="baseline"/>
        <name val="BundesSerif Office"/>
        <family val="1"/>
        <scheme val="none"/>
      </font>
      <alignment vertical="center" textRotation="0" indent="0" justifyLastLine="0" shrinkToFit="0" readingOrder="0"/>
    </dxf>
    <dxf>
      <font>
        <outline val="0"/>
        <shadow val="0"/>
        <u val="none"/>
        <vertAlign val="baseline"/>
        <name val="BundesSerif Office"/>
        <family val="1"/>
        <scheme val="none"/>
      </font>
      <numFmt numFmtId="170" formatCode="0.00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outline val="0"/>
        <shadow val="0"/>
        <u val="none"/>
        <vertAlign val="baseline"/>
        <name val="BundesSerif Office"/>
        <family val="1"/>
        <scheme val="none"/>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name val="BundesSerif Office"/>
        <family val="1"/>
        <scheme val="none"/>
      </font>
      <fill>
        <patternFill patternType="solid">
          <fgColor indexed="64"/>
          <bgColor rgb="FFFFFF0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name val="BundesSerif Office"/>
        <family val="1"/>
        <scheme val="none"/>
      </font>
      <fill>
        <patternFill patternType="solid">
          <fgColor indexed="64"/>
          <bgColor theme="0"/>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outline val="0"/>
        <shadow val="0"/>
        <u val="none"/>
        <vertAlign val="baseline"/>
        <name val="BundesSerif Office"/>
        <family val="1"/>
        <scheme val="none"/>
      </font>
    </dxf>
    <dxf>
      <border outline="0">
        <bottom style="thin">
          <color indexed="64"/>
        </bottom>
      </border>
    </dxf>
    <dxf>
      <font>
        <b val="0"/>
        <i val="0"/>
        <strike val="0"/>
        <condense val="0"/>
        <extend val="0"/>
        <outline val="0"/>
        <shadow val="0"/>
        <u val="none"/>
        <vertAlign val="baseline"/>
        <sz val="11"/>
        <color auto="1"/>
        <name val="BundesSerif Office"/>
        <family val="1"/>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name val="BundesSerif Office"/>
        <family val="1"/>
        <scheme val="none"/>
      </font>
      <numFmt numFmtId="166" formatCode="0.0"/>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outline val="0"/>
        <shadow val="0"/>
        <u val="none"/>
        <vertAlign val="baseline"/>
        <name val="BundesSerif Office"/>
        <family val="1"/>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outline val="0"/>
        <shadow val="0"/>
        <u val="none"/>
        <vertAlign val="baseline"/>
        <name val="BundesSerif Office"/>
        <family val="1"/>
        <scheme val="none"/>
      </font>
    </dxf>
    <dxf>
      <border outline="0">
        <bottom style="thin">
          <color indexed="64"/>
        </bottom>
      </border>
    </dxf>
    <dxf>
      <font>
        <outline val="0"/>
        <shadow val="0"/>
        <u val="none"/>
        <vertAlign val="baseline"/>
        <name val="BundesSerif Office"/>
        <family val="1"/>
        <scheme val="none"/>
      </font>
    </dxf>
    <dxf>
      <font>
        <color theme="2"/>
      </font>
    </dxf>
    <dxf>
      <font>
        <color theme="2"/>
      </font>
    </dxf>
    <dxf>
      <font>
        <color theme="2"/>
      </font>
    </dxf>
    <dxf>
      <font>
        <color theme="2"/>
      </font>
    </dxf>
    <dxf>
      <font>
        <color theme="2"/>
      </font>
    </dxf>
    <dxf>
      <font>
        <color theme="2"/>
      </font>
    </dxf>
    <dxf>
      <font>
        <color theme="2"/>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ill>
        <patternFill>
          <bgColor rgb="FFFF9999"/>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theme="4" tint="0.79998168889431442"/>
        </patternFill>
      </fill>
    </dxf>
    <dxf>
      <font>
        <color auto="1"/>
      </font>
      <border>
        <left style="thin">
          <color auto="1"/>
        </left>
        <right style="thin">
          <color auto="1"/>
        </right>
        <top style="thin">
          <color auto="1"/>
        </top>
        <bottom style="thin">
          <color auto="1"/>
        </bottom>
        <vertical/>
        <horizontal/>
      </border>
    </dxf>
    <dxf>
      <fill>
        <patternFill>
          <bgColor theme="4" tint="0.79998168889431442"/>
        </patternFill>
      </fill>
    </dxf>
    <dxf>
      <fill>
        <patternFill>
          <bgColor rgb="FFFF0000"/>
        </patternFill>
      </fill>
    </dxf>
    <dxf>
      <fill>
        <patternFill>
          <bgColor rgb="FF7030A0"/>
        </patternFill>
      </fill>
    </dxf>
    <dxf>
      <fill>
        <patternFill>
          <bgColor theme="4" tint="0.79998168889431442"/>
        </patternFill>
      </fill>
    </dxf>
    <dxf>
      <font>
        <color auto="1"/>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auto="1"/>
      </font>
      <border>
        <left style="thin">
          <color auto="1"/>
        </left>
        <right style="thin">
          <color auto="1"/>
        </right>
        <top style="thin">
          <color auto="1"/>
        </top>
        <bottom style="thin">
          <color auto="1"/>
        </bottom>
        <vertical/>
        <horizontal/>
      </border>
    </dxf>
    <dxf>
      <fill>
        <patternFill>
          <bgColor theme="4" tint="0.79998168889431442"/>
        </patternFill>
      </fill>
    </dxf>
    <dxf>
      <fill>
        <patternFill>
          <bgColor theme="4" tint="0.79998168889431442"/>
        </patternFill>
      </fill>
      <border>
        <left style="thin">
          <color rgb="FFFF0000"/>
        </left>
        <right style="thin">
          <color rgb="FFFF0000"/>
        </right>
        <top style="thin">
          <color rgb="FFFF0000"/>
        </top>
        <bottom style="thin">
          <color rgb="FFFF0000"/>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auto="1"/>
      </font>
      <border>
        <left style="thin">
          <color auto="1"/>
        </left>
        <right style="thin">
          <color auto="1"/>
        </right>
        <top style="thin">
          <color auto="1"/>
        </top>
        <bottom style="thin">
          <color auto="1"/>
        </bottom>
        <vertical/>
        <horizontal/>
      </border>
    </dxf>
    <dxf>
      <fill>
        <patternFill>
          <bgColor theme="7" tint="0.79998168889431442"/>
        </patternFill>
      </fill>
    </dxf>
    <dxf>
      <font>
        <color theme="0"/>
      </font>
      <fill>
        <patternFill>
          <bgColor theme="0"/>
        </patternFill>
      </fill>
      <border>
        <left/>
        <right/>
        <top/>
        <bottom/>
        <vertical/>
        <horizontal/>
      </border>
    </dxf>
    <dxf>
      <border>
        <left/>
        <right style="thin">
          <color auto="1"/>
        </right>
        <top style="thin">
          <color auto="1"/>
        </top>
        <bottom style="thin">
          <color auto="1"/>
        </bottom>
        <vertical/>
        <horizontal/>
      </border>
    </dxf>
    <dxf>
      <border>
        <left/>
        <right/>
        <top/>
        <bottom/>
        <vertical/>
        <horizontal/>
      </border>
    </dxf>
    <dxf>
      <border>
        <left/>
        <right style="thin">
          <color auto="1"/>
        </right>
        <top style="thin">
          <color auto="1"/>
        </top>
        <bottom style="thin">
          <color auto="1"/>
        </bottom>
        <vertical/>
        <horizontal/>
      </border>
    </dxf>
    <dxf>
      <border>
        <left/>
        <right/>
        <top style="thin">
          <color auto="1"/>
        </top>
        <bottom style="thin">
          <color auto="1"/>
        </bottom>
        <vertical/>
        <horizontal/>
      </border>
    </dxf>
    <dxf>
      <border>
        <left/>
        <right/>
        <top/>
        <bottom/>
        <vertical/>
        <horizontal/>
      </border>
    </dxf>
    <dxf>
      <border>
        <left/>
        <right style="thin">
          <color auto="1"/>
        </right>
        <top style="thin">
          <color auto="1"/>
        </top>
        <bottom style="thin">
          <color auto="1"/>
        </bottom>
        <vertical/>
        <horizontal/>
      </border>
    </dxf>
    <dxf>
      <border>
        <left/>
        <right/>
        <top style="thin">
          <color auto="1"/>
        </top>
        <bottom style="thin">
          <color auto="1"/>
        </bottom>
        <vertical/>
        <horizontal/>
      </border>
    </dxf>
    <dxf>
      <border>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ill>
        <patternFill>
          <bgColor theme="4" tint="0.79998168889431442"/>
        </patternFill>
      </fill>
    </dxf>
    <dxf>
      <fill>
        <patternFill>
          <bgColor theme="7" tint="0.79998168889431442"/>
        </patternFill>
      </fill>
    </dxf>
    <dxf>
      <font>
        <color theme="0"/>
      </font>
      <fill>
        <patternFill>
          <bgColor theme="0"/>
        </patternFill>
      </fill>
      <border>
        <left/>
        <right/>
        <top/>
        <bottom/>
        <vertical/>
        <horizontal/>
      </border>
    </dxf>
    <dxf>
      <font>
        <b/>
        <i val="0"/>
      </font>
      <fill>
        <patternFill>
          <bgColor rgb="FF68AF21"/>
        </patternFill>
      </fill>
      <border>
        <left style="thin">
          <color auto="1"/>
        </left>
        <right style="thin">
          <color auto="1"/>
        </right>
        <top style="thin">
          <color auto="1"/>
        </top>
        <bottom style="thin">
          <color auto="1"/>
        </bottom>
      </border>
    </dxf>
    <dxf>
      <font>
        <strike val="0"/>
        <outline val="0"/>
        <shadow val="0"/>
        <u val="none"/>
        <vertAlign val="baseline"/>
        <sz val="11"/>
        <color theme="1"/>
        <name val="BundesSerif Office"/>
        <family val="1"/>
        <scheme val="none"/>
      </font>
      <alignment horizontal="left"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strike val="0"/>
        <outline val="0"/>
        <shadow val="0"/>
        <u val="none"/>
        <vertAlign val="baseline"/>
        <sz val="11"/>
        <color theme="1"/>
        <name val="BundesSerif Office"/>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undesSerif Office"/>
        <family val="1"/>
        <scheme val="none"/>
      </font>
      <alignment horizontal="center" vertical="center" textRotation="0" wrapText="1" indent="0" justifyLastLine="0" shrinkToFit="1" readingOrder="0"/>
    </dxf>
    <dxf>
      <font>
        <b val="0"/>
        <i val="0"/>
        <strike val="0"/>
        <condense val="0"/>
        <extend val="0"/>
        <outline val="0"/>
        <shadow val="0"/>
        <u val="none"/>
        <vertAlign val="baseline"/>
        <sz val="11"/>
        <color theme="1"/>
        <name val="BundesSerif Office"/>
        <family val="1"/>
        <scheme val="none"/>
      </font>
      <alignment horizontal="general" vertical="center" textRotation="0" wrapText="1" indent="0" justifyLastLine="0" shrinkToFit="1" readingOrder="0"/>
    </dxf>
    <dxf>
      <font>
        <b/>
        <strike val="0"/>
        <outline val="0"/>
        <shadow val="0"/>
        <u val="none"/>
        <vertAlign val="baseline"/>
        <sz val="11"/>
        <color theme="1"/>
        <name val="BundesSerif Office"/>
        <family val="1"/>
        <scheme val="none"/>
      </font>
      <fill>
        <patternFill patternType="solid">
          <fgColor indexed="64"/>
          <bgColor theme="9"/>
        </patternFill>
      </fill>
      <alignment horizontal="center" vertical="center" textRotation="0" wrapText="0" indent="0" justifyLastLine="0" shrinkToFit="0" readingOrder="0"/>
    </dxf>
    <dxf>
      <font>
        <strike val="0"/>
        <outline val="0"/>
        <shadow val="0"/>
        <u val="none"/>
        <vertAlign val="baseline"/>
        <sz val="11"/>
        <color theme="1"/>
        <name val="BundesSerif Office"/>
        <family val="1"/>
        <scheme val="none"/>
      </font>
      <alignment vertical="center" textRotation="0" indent="0" justifyLastLine="0" readingOrder="0"/>
    </dxf>
    <dxf>
      <font>
        <b val="0"/>
        <i val="0"/>
        <strike val="0"/>
        <condense val="0"/>
        <extend val="0"/>
        <outline val="0"/>
        <shadow val="0"/>
        <u val="none"/>
        <vertAlign val="baseline"/>
        <sz val="11"/>
        <color theme="1"/>
        <name val="BundesSerif Office"/>
        <family val="1"/>
        <scheme val="none"/>
      </font>
      <alignment horizontal="center" vertical="bottom" textRotation="45" wrapText="1" indent="0" justifyLastLine="0" shrinkToFit="0" readingOrder="0"/>
    </dxf>
  </dxfs>
  <tableStyles count="0" defaultTableStyle="TableStyleMedium2" defaultPivotStyle="PivotStyleLight16"/>
  <colors>
    <mruColors>
      <color rgb="FF68AF21"/>
      <color rgb="FFFF9999"/>
      <color rgb="FFFFCCCC"/>
      <color rgb="FF002266"/>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A6C7E17-D8C1-43BE-892D-90D2692305DA}"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de-DE"/>
        </a:p>
      </dgm:t>
    </dgm:pt>
    <dgm:pt modelId="{97706652-46AA-473A-80C0-5581DC69DCA3}">
      <dgm:prSet phldrT="[Text]"/>
      <dgm:spPr/>
      <dgm:t>
        <a:bodyPr/>
        <a:lstStyle/>
        <a:p>
          <a:r>
            <a:rPr lang="de-DE" dirty="0"/>
            <a:t>Anzahl von neu zu schaffenden Stellplätzen</a:t>
          </a:r>
        </a:p>
      </dgm:t>
    </dgm:pt>
    <dgm:pt modelId="{1BAD5D1B-15CB-45C2-BD1F-5E1FE578A313}" type="parTrans" cxnId="{E15054B0-AD22-4C20-A420-0CC637D33E8C}">
      <dgm:prSet/>
      <dgm:spPr/>
      <dgm:t>
        <a:bodyPr/>
        <a:lstStyle/>
        <a:p>
          <a:endParaRPr lang="de-DE"/>
        </a:p>
      </dgm:t>
    </dgm:pt>
    <dgm:pt modelId="{133FC39D-5E96-4B1A-8B40-D23BFE6CEF4E}" type="sibTrans" cxnId="{E15054B0-AD22-4C20-A420-0CC637D33E8C}">
      <dgm:prSet/>
      <dgm:spPr/>
      <dgm:t>
        <a:bodyPr/>
        <a:lstStyle/>
        <a:p>
          <a:endParaRPr lang="de-DE"/>
        </a:p>
      </dgm:t>
    </dgm:pt>
    <dgm:pt modelId="{79CB15BD-D997-4750-A67C-D33EF7455AC2}">
      <dgm:prSet phldrT="[Text]"/>
      <dgm:spPr/>
      <dgm:t>
        <a:bodyPr/>
        <a:lstStyle/>
        <a:p>
          <a:r>
            <a:rPr lang="de-DE" dirty="0"/>
            <a:t>ungleich</a:t>
          </a:r>
        </a:p>
      </dgm:t>
    </dgm:pt>
    <dgm:pt modelId="{B16ABF12-C891-40E5-BA71-FC8A18FD442F}" type="parTrans" cxnId="{15B0D8A2-28F6-49A1-88AD-3D397E4E410E}">
      <dgm:prSet/>
      <dgm:spPr/>
      <dgm:t>
        <a:bodyPr/>
        <a:lstStyle/>
        <a:p>
          <a:endParaRPr lang="de-DE"/>
        </a:p>
      </dgm:t>
    </dgm:pt>
    <dgm:pt modelId="{3E1155BC-FE67-468F-9438-EAAF47F15F0F}" type="sibTrans" cxnId="{15B0D8A2-28F6-49A1-88AD-3D397E4E410E}">
      <dgm:prSet/>
      <dgm:spPr/>
      <dgm:t>
        <a:bodyPr/>
        <a:lstStyle/>
        <a:p>
          <a:endParaRPr lang="de-DE"/>
        </a:p>
      </dgm:t>
    </dgm:pt>
    <dgm:pt modelId="{51CB601E-D230-4172-851D-12FFE831B6FE}">
      <dgm:prSet phldrT="[Text]"/>
      <dgm:spPr/>
      <dgm:t>
        <a:bodyPr/>
        <a:lstStyle/>
        <a:p>
          <a:r>
            <a:rPr lang="de-DE" dirty="0"/>
            <a:t>gleich</a:t>
          </a:r>
        </a:p>
      </dgm:t>
    </dgm:pt>
    <dgm:pt modelId="{F21E0F03-4746-4862-AB04-5C98B0C8D048}" type="parTrans" cxnId="{B35D3973-1427-466F-A810-D2282EE74C28}">
      <dgm:prSet/>
      <dgm:spPr/>
      <dgm:t>
        <a:bodyPr/>
        <a:lstStyle/>
        <a:p>
          <a:endParaRPr lang="de-DE"/>
        </a:p>
      </dgm:t>
    </dgm:pt>
    <dgm:pt modelId="{73EB0A27-6AFC-4A94-8A55-A35DBFBD065B}" type="sibTrans" cxnId="{B35D3973-1427-466F-A810-D2282EE74C28}">
      <dgm:prSet/>
      <dgm:spPr/>
      <dgm:t>
        <a:bodyPr/>
        <a:lstStyle/>
        <a:p>
          <a:endParaRPr lang="de-DE"/>
        </a:p>
      </dgm:t>
    </dgm:pt>
    <dgm:pt modelId="{BB05E1BC-7AC1-45A8-8A4A-E54BEFD3A043}">
      <dgm:prSet custT="1"/>
      <dgm:spPr>
        <a:solidFill>
          <a:srgbClr val="FF0000"/>
        </a:solidFill>
      </dgm:spPr>
      <dgm:t>
        <a:bodyPr/>
        <a:lstStyle/>
        <a:p>
          <a:r>
            <a:rPr lang="de-DE" sz="1000" b="1" dirty="0"/>
            <a:t>B:</a:t>
          </a:r>
          <a:r>
            <a:rPr lang="de-DE" sz="700" dirty="0"/>
            <a:t> weder konventionelles noch telematisches Parken ist wirtschaftlich</a:t>
          </a:r>
        </a:p>
      </dgm:t>
    </dgm:pt>
    <dgm:pt modelId="{B6A68227-0E69-463D-BEE0-BF0165806A42}" type="parTrans" cxnId="{51EB6DEE-7779-4DE0-8745-12C0FC4E1FFE}">
      <dgm:prSet/>
      <dgm:spPr/>
      <dgm:t>
        <a:bodyPr/>
        <a:lstStyle/>
        <a:p>
          <a:endParaRPr lang="de-DE"/>
        </a:p>
      </dgm:t>
    </dgm:pt>
    <dgm:pt modelId="{D5659D32-4E43-47C7-AEC1-F9607952F2ED}" type="sibTrans" cxnId="{51EB6DEE-7779-4DE0-8745-12C0FC4E1FFE}">
      <dgm:prSet/>
      <dgm:spPr/>
      <dgm:t>
        <a:bodyPr/>
        <a:lstStyle/>
        <a:p>
          <a:endParaRPr lang="de-DE"/>
        </a:p>
      </dgm:t>
    </dgm:pt>
    <dgm:pt modelId="{BEF2B0F2-E8C5-4A4A-8677-370015EF0246}">
      <dgm:prSet custT="1"/>
      <dgm:spPr>
        <a:solidFill>
          <a:srgbClr val="00B050"/>
        </a:solidFill>
      </dgm:spPr>
      <dgm:t>
        <a:bodyPr/>
        <a:lstStyle/>
        <a:p>
          <a:r>
            <a:rPr lang="de-DE" sz="1000" b="1" dirty="0">
              <a:solidFill>
                <a:schemeClr val="bg1"/>
              </a:solidFill>
            </a:rPr>
            <a:t>A</a:t>
          </a:r>
          <a:r>
            <a:rPr lang="de-DE" sz="600" dirty="0">
              <a:solidFill>
                <a:schemeClr val="bg1"/>
              </a:solidFill>
            </a:rPr>
            <a:t>: NKV ist eindeutig: Die Planung mit dem höchsten NKV ist die wirtschaftlichste Alternative und sollte umgesetzt werden</a:t>
          </a:r>
        </a:p>
      </dgm:t>
    </dgm:pt>
    <dgm:pt modelId="{15984266-7D78-42A0-BCF9-ECA28D1A33A5}" type="parTrans" cxnId="{4522EEE2-5E30-4BAC-83AB-14BFB552E872}">
      <dgm:prSet/>
      <dgm:spPr/>
      <dgm:t>
        <a:bodyPr/>
        <a:lstStyle/>
        <a:p>
          <a:endParaRPr lang="de-DE"/>
        </a:p>
      </dgm:t>
    </dgm:pt>
    <dgm:pt modelId="{F239E8AE-313D-41F2-B60E-30D4CDB3DCBE}" type="sibTrans" cxnId="{4522EEE2-5E30-4BAC-83AB-14BFB552E872}">
      <dgm:prSet/>
      <dgm:spPr/>
      <dgm:t>
        <a:bodyPr/>
        <a:lstStyle/>
        <a:p>
          <a:endParaRPr lang="de-DE"/>
        </a:p>
      </dgm:t>
    </dgm:pt>
    <dgm:pt modelId="{ED0334C8-B3CF-4571-90F6-107B3BBE79A6}">
      <dgm:prSet/>
      <dgm:spPr/>
      <dgm:t>
        <a:bodyPr/>
        <a:lstStyle/>
        <a:p>
          <a:r>
            <a:rPr lang="de-DE" dirty="0"/>
            <a:t>NKV konventionelles Parken &gt; 1</a:t>
          </a:r>
        </a:p>
      </dgm:t>
    </dgm:pt>
    <dgm:pt modelId="{ADA3BF3D-3782-4A80-9EC4-7BF17325AB5F}" type="parTrans" cxnId="{FFC9BA39-FBB0-4A35-A790-8D59CA3B7D93}">
      <dgm:prSet/>
      <dgm:spPr/>
      <dgm:t>
        <a:bodyPr/>
        <a:lstStyle/>
        <a:p>
          <a:endParaRPr lang="de-DE"/>
        </a:p>
      </dgm:t>
    </dgm:pt>
    <dgm:pt modelId="{57823DE6-3AF3-4581-A885-ADEE22A3E7C7}" type="sibTrans" cxnId="{FFC9BA39-FBB0-4A35-A790-8D59CA3B7D93}">
      <dgm:prSet/>
      <dgm:spPr/>
      <dgm:t>
        <a:bodyPr/>
        <a:lstStyle/>
        <a:p>
          <a:endParaRPr lang="de-DE"/>
        </a:p>
      </dgm:t>
    </dgm:pt>
    <dgm:pt modelId="{0BEC5F05-C511-4019-8BF5-989BECA018C1}">
      <dgm:prSet/>
      <dgm:spPr/>
      <dgm:t>
        <a:bodyPr/>
        <a:lstStyle/>
        <a:p>
          <a:r>
            <a:rPr lang="de-DE" dirty="0"/>
            <a:t>NKV konventionelles Parken &lt; 1</a:t>
          </a:r>
        </a:p>
      </dgm:t>
    </dgm:pt>
    <dgm:pt modelId="{471AD519-2F9C-4C1F-A38B-075E65459CD8}" type="parTrans" cxnId="{E90FE042-7362-4A7A-9AF8-D2E8E66D1C54}">
      <dgm:prSet/>
      <dgm:spPr/>
      <dgm:t>
        <a:bodyPr/>
        <a:lstStyle/>
        <a:p>
          <a:endParaRPr lang="de-DE"/>
        </a:p>
      </dgm:t>
    </dgm:pt>
    <dgm:pt modelId="{BAD0CDC3-6731-4D68-9511-C48AFB5E66D9}" type="sibTrans" cxnId="{E90FE042-7362-4A7A-9AF8-D2E8E66D1C54}">
      <dgm:prSet/>
      <dgm:spPr/>
      <dgm:t>
        <a:bodyPr/>
        <a:lstStyle/>
        <a:p>
          <a:endParaRPr lang="de-DE"/>
        </a:p>
      </dgm:t>
    </dgm:pt>
    <dgm:pt modelId="{1BA88330-1D4F-41FE-A779-64BBAC7B5F77}">
      <dgm:prSet/>
      <dgm:spPr/>
      <dgm:t>
        <a:bodyPr/>
        <a:lstStyle/>
        <a:p>
          <a:r>
            <a:rPr lang="de-DE" dirty="0"/>
            <a:t>NKV telematisches Parken &gt;1</a:t>
          </a:r>
        </a:p>
      </dgm:t>
    </dgm:pt>
    <dgm:pt modelId="{571DBB2A-122C-420F-A1AF-04997CDC40A2}" type="parTrans" cxnId="{7CF4E1BA-B190-419B-B61A-AD42A709FB09}">
      <dgm:prSet/>
      <dgm:spPr/>
      <dgm:t>
        <a:bodyPr/>
        <a:lstStyle/>
        <a:p>
          <a:endParaRPr lang="de-DE"/>
        </a:p>
      </dgm:t>
    </dgm:pt>
    <dgm:pt modelId="{EFE4A7BE-E5BC-4411-857C-4AF0FD106A78}" type="sibTrans" cxnId="{7CF4E1BA-B190-419B-B61A-AD42A709FB09}">
      <dgm:prSet/>
      <dgm:spPr/>
      <dgm:t>
        <a:bodyPr/>
        <a:lstStyle/>
        <a:p>
          <a:endParaRPr lang="de-DE"/>
        </a:p>
      </dgm:t>
    </dgm:pt>
    <dgm:pt modelId="{D8328E0E-4051-4847-ADCD-C07FE3C0ACBD}">
      <dgm:prSet/>
      <dgm:spPr/>
      <dgm:t>
        <a:bodyPr/>
        <a:lstStyle/>
        <a:p>
          <a:r>
            <a:rPr lang="de-DE" dirty="0"/>
            <a:t>NKV telematisches Parken </a:t>
          </a:r>
          <a:br>
            <a:rPr lang="de-DE" dirty="0"/>
          </a:br>
          <a:r>
            <a:rPr lang="de-DE" dirty="0"/>
            <a:t>&lt;1</a:t>
          </a:r>
        </a:p>
      </dgm:t>
    </dgm:pt>
    <dgm:pt modelId="{95662136-9B33-47DB-A0E1-1EB60E8D9DC1}" type="parTrans" cxnId="{77F4345F-2A32-4A4E-884C-899D763C0DA4}">
      <dgm:prSet/>
      <dgm:spPr/>
      <dgm:t>
        <a:bodyPr/>
        <a:lstStyle/>
        <a:p>
          <a:endParaRPr lang="de-DE"/>
        </a:p>
      </dgm:t>
    </dgm:pt>
    <dgm:pt modelId="{5FFDF04F-DE29-4363-9B03-29E8578A59A9}" type="sibTrans" cxnId="{77F4345F-2A32-4A4E-884C-899D763C0DA4}">
      <dgm:prSet/>
      <dgm:spPr/>
      <dgm:t>
        <a:bodyPr/>
        <a:lstStyle/>
        <a:p>
          <a:endParaRPr lang="de-DE"/>
        </a:p>
      </dgm:t>
    </dgm:pt>
    <dgm:pt modelId="{7501E294-BF2B-492E-B925-0837BE2B4E18}">
      <dgm:prSet custT="1"/>
      <dgm:spPr>
        <a:solidFill>
          <a:srgbClr val="00B050"/>
        </a:solidFill>
      </dgm:spPr>
      <dgm:t>
        <a:bodyPr/>
        <a:lstStyle/>
        <a:p>
          <a:r>
            <a:rPr lang="de-DE" sz="1000" b="1" dirty="0"/>
            <a:t>C: t</a:t>
          </a:r>
          <a:r>
            <a:rPr lang="de-DE" sz="700" dirty="0"/>
            <a:t>elematisches Parken ist wirtschaftlich</a:t>
          </a:r>
        </a:p>
      </dgm:t>
    </dgm:pt>
    <dgm:pt modelId="{1C2F213E-B9F0-44B4-B221-788E9B292045}" type="parTrans" cxnId="{D925EC29-75CF-4A2B-A671-6FEC866EE789}">
      <dgm:prSet/>
      <dgm:spPr/>
      <dgm:t>
        <a:bodyPr/>
        <a:lstStyle/>
        <a:p>
          <a:endParaRPr lang="de-DE"/>
        </a:p>
      </dgm:t>
    </dgm:pt>
    <dgm:pt modelId="{764EA219-82F0-47DC-984B-DD7AF36941C5}" type="sibTrans" cxnId="{D925EC29-75CF-4A2B-A671-6FEC866EE789}">
      <dgm:prSet/>
      <dgm:spPr/>
      <dgm:t>
        <a:bodyPr/>
        <a:lstStyle/>
        <a:p>
          <a:endParaRPr lang="de-DE"/>
        </a:p>
      </dgm:t>
    </dgm:pt>
    <dgm:pt modelId="{B68C493D-6EF4-409C-AEB2-D788B3AD8F4F}">
      <dgm:prSet/>
      <dgm:spPr/>
      <dgm:t>
        <a:bodyPr/>
        <a:lstStyle/>
        <a:p>
          <a:r>
            <a:rPr lang="de-DE" dirty="0"/>
            <a:t>NKV telematisches Parken &lt;1</a:t>
          </a:r>
        </a:p>
      </dgm:t>
    </dgm:pt>
    <dgm:pt modelId="{55743EF1-CBF3-43F4-B15A-D34929CBE82F}" type="parTrans" cxnId="{D831C2B7-FE11-451E-9AA2-CFDBA27D560F}">
      <dgm:prSet/>
      <dgm:spPr/>
      <dgm:t>
        <a:bodyPr/>
        <a:lstStyle/>
        <a:p>
          <a:endParaRPr lang="de-DE"/>
        </a:p>
      </dgm:t>
    </dgm:pt>
    <dgm:pt modelId="{62754AA2-D370-4D6C-86F1-33F4920FAB6B}" type="sibTrans" cxnId="{D831C2B7-FE11-451E-9AA2-CFDBA27D560F}">
      <dgm:prSet/>
      <dgm:spPr/>
      <dgm:t>
        <a:bodyPr/>
        <a:lstStyle/>
        <a:p>
          <a:endParaRPr lang="de-DE"/>
        </a:p>
      </dgm:t>
    </dgm:pt>
    <dgm:pt modelId="{FFE24E7C-1C55-49D2-B98E-084CB2610B7A}">
      <dgm:prSet/>
      <dgm:spPr/>
      <dgm:t>
        <a:bodyPr/>
        <a:lstStyle/>
        <a:p>
          <a:r>
            <a:rPr lang="de-DE" dirty="0"/>
            <a:t>NKV telematisches Parken &gt;1</a:t>
          </a:r>
        </a:p>
      </dgm:t>
    </dgm:pt>
    <dgm:pt modelId="{FF0BD079-1011-4321-89E9-107A6C2DBC17}" type="parTrans" cxnId="{E7B40685-8D60-462C-BE7A-EC2B3A74B979}">
      <dgm:prSet/>
      <dgm:spPr/>
      <dgm:t>
        <a:bodyPr/>
        <a:lstStyle/>
        <a:p>
          <a:endParaRPr lang="de-DE"/>
        </a:p>
      </dgm:t>
    </dgm:pt>
    <dgm:pt modelId="{C7E13A67-77B1-46CD-846F-7BB84ECB24A6}" type="sibTrans" cxnId="{E7B40685-8D60-462C-BE7A-EC2B3A74B979}">
      <dgm:prSet/>
      <dgm:spPr/>
      <dgm:t>
        <a:bodyPr/>
        <a:lstStyle/>
        <a:p>
          <a:endParaRPr lang="de-DE"/>
        </a:p>
      </dgm:t>
    </dgm:pt>
    <dgm:pt modelId="{46B23F86-9DCB-46B6-A2B5-ADFC0DDC2042}">
      <dgm:prSet/>
      <dgm:spPr>
        <a:solidFill>
          <a:srgbClr val="0E518D"/>
        </a:solidFill>
      </dgm:spPr>
      <dgm:t>
        <a:bodyPr/>
        <a:lstStyle/>
        <a:p>
          <a:r>
            <a:rPr lang="de-DE" dirty="0"/>
            <a:t>NKV konventionelles Parken </a:t>
          </a:r>
          <a:br>
            <a:rPr lang="de-DE" dirty="0"/>
          </a:br>
          <a:r>
            <a:rPr lang="de-DE" dirty="0">
              <a:solidFill>
                <a:schemeClr val="bg1"/>
              </a:solidFill>
            </a:rPr>
            <a:t>&lt;</a:t>
          </a:r>
          <a:br>
            <a:rPr lang="de-DE" dirty="0">
              <a:solidFill>
                <a:schemeClr val="bg1"/>
              </a:solidFill>
            </a:rPr>
          </a:br>
          <a:r>
            <a:rPr lang="de-DE" dirty="0">
              <a:solidFill>
                <a:schemeClr val="bg1"/>
              </a:solidFill>
            </a:rPr>
            <a:t> NKV telematisches Parken</a:t>
          </a:r>
        </a:p>
      </dgm:t>
    </dgm:pt>
    <dgm:pt modelId="{EA71D1F2-99CD-4C36-BC91-F123BCA2164E}" type="parTrans" cxnId="{922B749F-EBCB-4CED-8881-1744CBA895C6}">
      <dgm:prSet/>
      <dgm:spPr/>
      <dgm:t>
        <a:bodyPr/>
        <a:lstStyle/>
        <a:p>
          <a:endParaRPr lang="de-DE"/>
        </a:p>
      </dgm:t>
    </dgm:pt>
    <dgm:pt modelId="{8CBB9DAC-8265-4329-BCA8-31013D235640}" type="sibTrans" cxnId="{922B749F-EBCB-4CED-8881-1744CBA895C6}">
      <dgm:prSet/>
      <dgm:spPr/>
      <dgm:t>
        <a:bodyPr/>
        <a:lstStyle/>
        <a:p>
          <a:endParaRPr lang="de-DE"/>
        </a:p>
      </dgm:t>
    </dgm:pt>
    <dgm:pt modelId="{034B307A-86BC-4201-9CA3-9DEEA96207AF}">
      <dgm:prSet custT="1"/>
      <dgm:spPr>
        <a:solidFill>
          <a:srgbClr val="00B050"/>
        </a:solidFill>
      </dgm:spPr>
      <dgm:t>
        <a:bodyPr/>
        <a:lstStyle/>
        <a:p>
          <a:r>
            <a:rPr lang="de-DE" sz="1000" b="1" dirty="0"/>
            <a:t>D: </a:t>
          </a:r>
          <a:r>
            <a:rPr lang="de-DE" sz="700" dirty="0"/>
            <a:t>konventionelles Parken ist wirtschaftlich</a:t>
          </a:r>
        </a:p>
      </dgm:t>
    </dgm:pt>
    <dgm:pt modelId="{864390C0-C3E4-4B8B-A996-00D8395AC886}" type="parTrans" cxnId="{646DCB7E-B173-4566-848F-B72279F58663}">
      <dgm:prSet/>
      <dgm:spPr/>
      <dgm:t>
        <a:bodyPr/>
        <a:lstStyle/>
        <a:p>
          <a:endParaRPr lang="de-DE"/>
        </a:p>
      </dgm:t>
    </dgm:pt>
    <dgm:pt modelId="{719C968A-0F59-49E2-9C59-0D949681BCEA}" type="sibTrans" cxnId="{646DCB7E-B173-4566-848F-B72279F58663}">
      <dgm:prSet/>
      <dgm:spPr/>
      <dgm:t>
        <a:bodyPr/>
        <a:lstStyle/>
        <a:p>
          <a:endParaRPr lang="de-DE"/>
        </a:p>
      </dgm:t>
    </dgm:pt>
    <dgm:pt modelId="{3714D3EE-3C26-4FE1-A55B-0D2A9D8BE98B}">
      <dgm:prSet/>
      <dgm:spPr/>
      <dgm:t>
        <a:bodyPr/>
        <a:lstStyle/>
        <a:p>
          <a:r>
            <a:rPr lang="de-DE" dirty="0"/>
            <a:t>NKV konventionelles Parken </a:t>
          </a:r>
          <a:br>
            <a:rPr lang="de-DE" dirty="0"/>
          </a:br>
          <a:r>
            <a:rPr lang="de-DE" dirty="0"/>
            <a:t> &gt;</a:t>
          </a:r>
          <a:br>
            <a:rPr lang="de-DE" dirty="0"/>
          </a:br>
          <a:r>
            <a:rPr lang="de-DE" dirty="0"/>
            <a:t> NKV telematisches Parken</a:t>
          </a:r>
        </a:p>
      </dgm:t>
    </dgm:pt>
    <dgm:pt modelId="{81709185-962B-4C87-BEA3-798F9F7B90DA}" type="parTrans" cxnId="{BF7CE118-77D1-45BA-8949-E1141759E454}">
      <dgm:prSet/>
      <dgm:spPr/>
      <dgm:t>
        <a:bodyPr/>
        <a:lstStyle/>
        <a:p>
          <a:endParaRPr lang="de-DE"/>
        </a:p>
      </dgm:t>
    </dgm:pt>
    <dgm:pt modelId="{6E179B6D-DD37-451D-8C71-DA3F6DB6D20C}" type="sibTrans" cxnId="{BF7CE118-77D1-45BA-8949-E1141759E454}">
      <dgm:prSet/>
      <dgm:spPr/>
      <dgm:t>
        <a:bodyPr/>
        <a:lstStyle/>
        <a:p>
          <a:endParaRPr lang="de-DE"/>
        </a:p>
      </dgm:t>
    </dgm:pt>
    <dgm:pt modelId="{5F830DA2-E6B5-4E9F-9694-A808F15C666C}">
      <dgm:prSet custT="1"/>
      <dgm:spPr>
        <a:solidFill>
          <a:srgbClr val="00B050"/>
        </a:solidFill>
      </dgm:spPr>
      <dgm:t>
        <a:bodyPr/>
        <a:lstStyle/>
        <a:p>
          <a:r>
            <a:rPr lang="de-DE" sz="1000" b="1" dirty="0"/>
            <a:t> E: </a:t>
          </a:r>
          <a:r>
            <a:rPr lang="de-DE" sz="700" dirty="0"/>
            <a:t>telematisches Parken ist wirtschaftlicher als konventionelles Parken</a:t>
          </a:r>
        </a:p>
      </dgm:t>
    </dgm:pt>
    <dgm:pt modelId="{A1DB4B56-F67E-4DBD-82EA-DEC24031B837}" type="parTrans" cxnId="{76112C36-E14D-4467-B57C-520BD2C5EAB1}">
      <dgm:prSet/>
      <dgm:spPr/>
      <dgm:t>
        <a:bodyPr/>
        <a:lstStyle/>
        <a:p>
          <a:endParaRPr lang="de-DE"/>
        </a:p>
      </dgm:t>
    </dgm:pt>
    <dgm:pt modelId="{05469874-ED30-48BA-9B8B-F3D180041755}" type="sibTrans" cxnId="{76112C36-E14D-4467-B57C-520BD2C5EAB1}">
      <dgm:prSet/>
      <dgm:spPr/>
      <dgm:t>
        <a:bodyPr/>
        <a:lstStyle/>
        <a:p>
          <a:endParaRPr lang="de-DE"/>
        </a:p>
      </dgm:t>
    </dgm:pt>
    <dgm:pt modelId="{1119774C-2E15-4467-ADC6-8F4CDF8D1441}">
      <dgm:prSet custT="1"/>
      <dgm:spPr>
        <a:solidFill>
          <a:srgbClr val="FF0000"/>
        </a:solidFill>
      </dgm:spPr>
      <dgm:t>
        <a:bodyPr/>
        <a:lstStyle/>
        <a:p>
          <a:r>
            <a:rPr lang="de-DE" sz="1000" b="1" dirty="0">
              <a:solidFill>
                <a:schemeClr val="bg1"/>
              </a:solidFill>
            </a:rPr>
            <a:t>F1:</a:t>
          </a:r>
          <a:r>
            <a:rPr lang="de-DE" sz="700" dirty="0">
              <a:solidFill>
                <a:schemeClr val="bg1"/>
              </a:solidFill>
            </a:rPr>
            <a:t>DIFF-NKV &lt;1 = telematisches Parken ist weniger wirtschaftlich als konventionelles Parken</a:t>
          </a:r>
        </a:p>
      </dgm:t>
    </dgm:pt>
    <dgm:pt modelId="{A9B8789C-87D4-4181-B1C5-B89600A641B1}" type="parTrans" cxnId="{9653D801-B70A-4AB9-A1D9-4455403E728E}">
      <dgm:prSet/>
      <dgm:spPr/>
      <dgm:t>
        <a:bodyPr/>
        <a:lstStyle/>
        <a:p>
          <a:endParaRPr lang="de-DE"/>
        </a:p>
      </dgm:t>
    </dgm:pt>
    <dgm:pt modelId="{DDF9F74C-49EF-4A9E-934D-123F7A0559B7}" type="sibTrans" cxnId="{9653D801-B70A-4AB9-A1D9-4455403E728E}">
      <dgm:prSet/>
      <dgm:spPr/>
      <dgm:t>
        <a:bodyPr/>
        <a:lstStyle/>
        <a:p>
          <a:endParaRPr lang="de-DE"/>
        </a:p>
      </dgm:t>
    </dgm:pt>
    <dgm:pt modelId="{176EF5EA-E794-4602-8434-6BAC70C08A11}">
      <dgm:prSet custT="1"/>
      <dgm:spPr>
        <a:solidFill>
          <a:srgbClr val="00B050"/>
        </a:solidFill>
      </dgm:spPr>
      <dgm:t>
        <a:bodyPr/>
        <a:lstStyle/>
        <a:p>
          <a:r>
            <a:rPr lang="de-DE" sz="1000" b="1" dirty="0"/>
            <a:t>F2: </a:t>
          </a:r>
          <a:r>
            <a:rPr lang="de-DE" sz="700" dirty="0"/>
            <a:t>DIFF-NKV &gt;1 = telematisches Parken ist wirtschaftlicher als konventionelles Parken</a:t>
          </a:r>
        </a:p>
      </dgm:t>
    </dgm:pt>
    <dgm:pt modelId="{7C7E10DF-08B2-466A-932E-489E42D51E5E}" type="parTrans" cxnId="{00A004B5-0CE6-457C-B118-B972FACCB1A8}">
      <dgm:prSet/>
      <dgm:spPr/>
      <dgm:t>
        <a:bodyPr/>
        <a:lstStyle/>
        <a:p>
          <a:endParaRPr lang="de-DE"/>
        </a:p>
      </dgm:t>
    </dgm:pt>
    <dgm:pt modelId="{7BDDB5B1-C043-4092-9206-E5BFB52238B9}" type="sibTrans" cxnId="{00A004B5-0CE6-457C-B118-B972FACCB1A8}">
      <dgm:prSet/>
      <dgm:spPr/>
      <dgm:t>
        <a:bodyPr/>
        <a:lstStyle/>
        <a:p>
          <a:endParaRPr lang="de-DE"/>
        </a:p>
      </dgm:t>
    </dgm:pt>
    <dgm:pt modelId="{996B0B86-246E-4C87-AFCF-F57A81ED6D95}" type="pres">
      <dgm:prSet presAssocID="{DA6C7E17-D8C1-43BE-892D-90D2692305DA}" presName="hierChild1" presStyleCnt="0">
        <dgm:presLayoutVars>
          <dgm:orgChart val="1"/>
          <dgm:chPref val="1"/>
          <dgm:dir/>
          <dgm:animOne val="branch"/>
          <dgm:animLvl val="lvl"/>
          <dgm:resizeHandles/>
        </dgm:presLayoutVars>
      </dgm:prSet>
      <dgm:spPr/>
    </dgm:pt>
    <dgm:pt modelId="{2468BF1C-A4A6-4DE0-B45A-6883C81317C0}" type="pres">
      <dgm:prSet presAssocID="{97706652-46AA-473A-80C0-5581DC69DCA3}" presName="hierRoot1" presStyleCnt="0">
        <dgm:presLayoutVars>
          <dgm:hierBranch val="init"/>
        </dgm:presLayoutVars>
      </dgm:prSet>
      <dgm:spPr/>
    </dgm:pt>
    <dgm:pt modelId="{11E57571-F725-47BB-83CC-E9529950258C}" type="pres">
      <dgm:prSet presAssocID="{97706652-46AA-473A-80C0-5581DC69DCA3}" presName="rootComposite1" presStyleCnt="0"/>
      <dgm:spPr/>
    </dgm:pt>
    <dgm:pt modelId="{F49FE68C-7BF1-409D-A582-A865AD4E67E8}" type="pres">
      <dgm:prSet presAssocID="{97706652-46AA-473A-80C0-5581DC69DCA3}" presName="rootText1" presStyleLbl="node0" presStyleIdx="0" presStyleCnt="1">
        <dgm:presLayoutVars>
          <dgm:chPref val="3"/>
        </dgm:presLayoutVars>
      </dgm:prSet>
      <dgm:spPr/>
    </dgm:pt>
    <dgm:pt modelId="{76C8E8F2-7843-4A05-8BCC-E7D26E0A62A4}" type="pres">
      <dgm:prSet presAssocID="{97706652-46AA-473A-80C0-5581DC69DCA3}" presName="rootConnector1" presStyleLbl="node1" presStyleIdx="0" presStyleCnt="0"/>
      <dgm:spPr/>
    </dgm:pt>
    <dgm:pt modelId="{3BA3BB1D-85F2-4BD8-BC3C-3E0F1BDF7102}" type="pres">
      <dgm:prSet presAssocID="{97706652-46AA-473A-80C0-5581DC69DCA3}" presName="hierChild2" presStyleCnt="0"/>
      <dgm:spPr/>
    </dgm:pt>
    <dgm:pt modelId="{ECF42465-4450-40F5-938D-045A094FFBBA}" type="pres">
      <dgm:prSet presAssocID="{F21E0F03-4746-4862-AB04-5C98B0C8D048}" presName="Name37" presStyleLbl="parChTrans1D2" presStyleIdx="0" presStyleCnt="2"/>
      <dgm:spPr/>
    </dgm:pt>
    <dgm:pt modelId="{B218D975-933C-4EAE-9FDF-64E2384A2358}" type="pres">
      <dgm:prSet presAssocID="{51CB601E-D230-4172-851D-12FFE831B6FE}" presName="hierRoot2" presStyleCnt="0">
        <dgm:presLayoutVars>
          <dgm:hierBranch val="l"/>
        </dgm:presLayoutVars>
      </dgm:prSet>
      <dgm:spPr/>
    </dgm:pt>
    <dgm:pt modelId="{E2789606-727E-4297-AE45-B2AF20285624}" type="pres">
      <dgm:prSet presAssocID="{51CB601E-D230-4172-851D-12FFE831B6FE}" presName="rootComposite" presStyleCnt="0"/>
      <dgm:spPr/>
    </dgm:pt>
    <dgm:pt modelId="{7A439DA7-6610-44BE-A2DE-32C68DB38DDB}" type="pres">
      <dgm:prSet presAssocID="{51CB601E-D230-4172-851D-12FFE831B6FE}" presName="rootText" presStyleLbl="node2" presStyleIdx="0" presStyleCnt="2">
        <dgm:presLayoutVars>
          <dgm:chPref val="3"/>
        </dgm:presLayoutVars>
      </dgm:prSet>
      <dgm:spPr/>
    </dgm:pt>
    <dgm:pt modelId="{874B007D-6228-483C-9374-D5B3DA51B03D}" type="pres">
      <dgm:prSet presAssocID="{51CB601E-D230-4172-851D-12FFE831B6FE}" presName="rootConnector" presStyleLbl="node2" presStyleIdx="0" presStyleCnt="2"/>
      <dgm:spPr/>
    </dgm:pt>
    <dgm:pt modelId="{8008BF11-2362-4588-94E9-2BFC67AFFEDE}" type="pres">
      <dgm:prSet presAssocID="{51CB601E-D230-4172-851D-12FFE831B6FE}" presName="hierChild4" presStyleCnt="0"/>
      <dgm:spPr/>
    </dgm:pt>
    <dgm:pt modelId="{20CF2585-8A42-438F-A80C-8030A2BFAF50}" type="pres">
      <dgm:prSet presAssocID="{15984266-7D78-42A0-BCF9-ECA28D1A33A5}" presName="Name50" presStyleLbl="parChTrans1D3" presStyleIdx="0" presStyleCnt="3"/>
      <dgm:spPr/>
    </dgm:pt>
    <dgm:pt modelId="{05BA12F4-F8DB-4408-9BF0-97201172D467}" type="pres">
      <dgm:prSet presAssocID="{BEF2B0F2-E8C5-4A4A-8677-370015EF0246}" presName="hierRoot2" presStyleCnt="0">
        <dgm:presLayoutVars>
          <dgm:hierBranch val="l"/>
        </dgm:presLayoutVars>
      </dgm:prSet>
      <dgm:spPr/>
    </dgm:pt>
    <dgm:pt modelId="{E59576B7-9F99-4652-AFA5-1EDD53D5CB61}" type="pres">
      <dgm:prSet presAssocID="{BEF2B0F2-E8C5-4A4A-8677-370015EF0246}" presName="rootComposite" presStyleCnt="0"/>
      <dgm:spPr/>
    </dgm:pt>
    <dgm:pt modelId="{BCDB8714-AA53-47ED-B3E0-88E91FF3EC80}" type="pres">
      <dgm:prSet presAssocID="{BEF2B0F2-E8C5-4A4A-8677-370015EF0246}" presName="rootText" presStyleLbl="node3" presStyleIdx="0" presStyleCnt="3">
        <dgm:presLayoutVars>
          <dgm:chPref val="3"/>
        </dgm:presLayoutVars>
      </dgm:prSet>
      <dgm:spPr>
        <a:prstGeom prst="round2DiagRect">
          <a:avLst/>
        </a:prstGeom>
      </dgm:spPr>
    </dgm:pt>
    <dgm:pt modelId="{F71ED633-28AB-42B6-8585-D976131D4CD1}" type="pres">
      <dgm:prSet presAssocID="{BEF2B0F2-E8C5-4A4A-8677-370015EF0246}" presName="rootConnector" presStyleLbl="node3" presStyleIdx="0" presStyleCnt="3"/>
      <dgm:spPr/>
    </dgm:pt>
    <dgm:pt modelId="{61906063-A24D-4243-9CA0-E3767C28BA14}" type="pres">
      <dgm:prSet presAssocID="{BEF2B0F2-E8C5-4A4A-8677-370015EF0246}" presName="hierChild4" presStyleCnt="0"/>
      <dgm:spPr/>
    </dgm:pt>
    <dgm:pt modelId="{A2F3270E-E13A-43CE-85A7-2920A912AF77}" type="pres">
      <dgm:prSet presAssocID="{BEF2B0F2-E8C5-4A4A-8677-370015EF0246}" presName="hierChild5" presStyleCnt="0"/>
      <dgm:spPr/>
    </dgm:pt>
    <dgm:pt modelId="{9D7A9C56-EF4A-48FB-B928-F977E3618A1F}" type="pres">
      <dgm:prSet presAssocID="{51CB601E-D230-4172-851D-12FFE831B6FE}" presName="hierChild5" presStyleCnt="0"/>
      <dgm:spPr/>
    </dgm:pt>
    <dgm:pt modelId="{E274FC5D-E802-4EAA-BA61-C8CFB33ED887}" type="pres">
      <dgm:prSet presAssocID="{B16ABF12-C891-40E5-BA71-FC8A18FD442F}" presName="Name37" presStyleLbl="parChTrans1D2" presStyleIdx="1" presStyleCnt="2"/>
      <dgm:spPr/>
    </dgm:pt>
    <dgm:pt modelId="{32B03F6A-353F-4B23-998D-055868A3D7DB}" type="pres">
      <dgm:prSet presAssocID="{79CB15BD-D997-4750-A67C-D33EF7455AC2}" presName="hierRoot2" presStyleCnt="0">
        <dgm:presLayoutVars>
          <dgm:hierBranch val="init"/>
        </dgm:presLayoutVars>
      </dgm:prSet>
      <dgm:spPr/>
    </dgm:pt>
    <dgm:pt modelId="{EC62682E-D7C4-48B6-9C72-C04EC53C4166}" type="pres">
      <dgm:prSet presAssocID="{79CB15BD-D997-4750-A67C-D33EF7455AC2}" presName="rootComposite" presStyleCnt="0"/>
      <dgm:spPr/>
    </dgm:pt>
    <dgm:pt modelId="{8B6E9BA4-8873-4CC0-A0DA-9D730F6DD832}" type="pres">
      <dgm:prSet presAssocID="{79CB15BD-D997-4750-A67C-D33EF7455AC2}" presName="rootText" presStyleLbl="node2" presStyleIdx="1" presStyleCnt="2" custLinFactNeighborX="2347" custLinFactNeighborY="3130">
        <dgm:presLayoutVars>
          <dgm:chPref val="3"/>
        </dgm:presLayoutVars>
      </dgm:prSet>
      <dgm:spPr/>
    </dgm:pt>
    <dgm:pt modelId="{E45F1DC8-67B8-4EFE-B18D-36DDE8A5B48A}" type="pres">
      <dgm:prSet presAssocID="{79CB15BD-D997-4750-A67C-D33EF7455AC2}" presName="rootConnector" presStyleLbl="node2" presStyleIdx="1" presStyleCnt="2"/>
      <dgm:spPr/>
    </dgm:pt>
    <dgm:pt modelId="{7E4FC574-AF5D-44D9-9439-B9480F18D430}" type="pres">
      <dgm:prSet presAssocID="{79CB15BD-D997-4750-A67C-D33EF7455AC2}" presName="hierChild4" presStyleCnt="0"/>
      <dgm:spPr/>
    </dgm:pt>
    <dgm:pt modelId="{09AB85C2-3028-4CB5-95F3-B2C62125F7B0}" type="pres">
      <dgm:prSet presAssocID="{471AD519-2F9C-4C1F-A38B-075E65459CD8}" presName="Name37" presStyleLbl="parChTrans1D3" presStyleIdx="1" presStyleCnt="3"/>
      <dgm:spPr/>
    </dgm:pt>
    <dgm:pt modelId="{D0104D77-2418-4AE3-9144-C73588F6D4DC}" type="pres">
      <dgm:prSet presAssocID="{0BEC5F05-C511-4019-8BF5-989BECA018C1}" presName="hierRoot2" presStyleCnt="0">
        <dgm:presLayoutVars>
          <dgm:hierBranch val="init"/>
        </dgm:presLayoutVars>
      </dgm:prSet>
      <dgm:spPr/>
    </dgm:pt>
    <dgm:pt modelId="{5443FF3B-4AD1-4B29-BF0D-E8A8C65B2BE6}" type="pres">
      <dgm:prSet presAssocID="{0BEC5F05-C511-4019-8BF5-989BECA018C1}" presName="rootComposite" presStyleCnt="0"/>
      <dgm:spPr/>
    </dgm:pt>
    <dgm:pt modelId="{7B6ABDB9-2347-433C-A170-A78286B509E4}" type="pres">
      <dgm:prSet presAssocID="{0BEC5F05-C511-4019-8BF5-989BECA018C1}" presName="rootText" presStyleLbl="node3" presStyleIdx="1" presStyleCnt="3">
        <dgm:presLayoutVars>
          <dgm:chPref val="3"/>
        </dgm:presLayoutVars>
      </dgm:prSet>
      <dgm:spPr/>
    </dgm:pt>
    <dgm:pt modelId="{214F93B0-8FA3-418C-A2A8-98ADF5009073}" type="pres">
      <dgm:prSet presAssocID="{0BEC5F05-C511-4019-8BF5-989BECA018C1}" presName="rootConnector" presStyleLbl="node3" presStyleIdx="1" presStyleCnt="3"/>
      <dgm:spPr/>
    </dgm:pt>
    <dgm:pt modelId="{41DFBB39-C532-488B-A07D-BD6D3882F3A4}" type="pres">
      <dgm:prSet presAssocID="{0BEC5F05-C511-4019-8BF5-989BECA018C1}" presName="hierChild4" presStyleCnt="0"/>
      <dgm:spPr/>
    </dgm:pt>
    <dgm:pt modelId="{DD3F4439-48ED-424A-9B71-7793BC4A75AE}" type="pres">
      <dgm:prSet presAssocID="{95662136-9B33-47DB-A0E1-1EB60E8D9DC1}" presName="Name37" presStyleLbl="parChTrans1D4" presStyleIdx="0" presStyleCnt="12"/>
      <dgm:spPr/>
    </dgm:pt>
    <dgm:pt modelId="{98ACEE49-BB41-4564-A4D9-D7810E5655E0}" type="pres">
      <dgm:prSet presAssocID="{D8328E0E-4051-4847-ADCD-C07FE3C0ACBD}" presName="hierRoot2" presStyleCnt="0">
        <dgm:presLayoutVars>
          <dgm:hierBranch val="init"/>
        </dgm:presLayoutVars>
      </dgm:prSet>
      <dgm:spPr/>
    </dgm:pt>
    <dgm:pt modelId="{C40CF151-DF64-4093-900B-6A594ACE01A3}" type="pres">
      <dgm:prSet presAssocID="{D8328E0E-4051-4847-ADCD-C07FE3C0ACBD}" presName="rootComposite" presStyleCnt="0"/>
      <dgm:spPr/>
    </dgm:pt>
    <dgm:pt modelId="{948A369A-C032-434C-B84D-339DDA24BD76}" type="pres">
      <dgm:prSet presAssocID="{D8328E0E-4051-4847-ADCD-C07FE3C0ACBD}" presName="rootText" presStyleLbl="node4" presStyleIdx="0" presStyleCnt="12">
        <dgm:presLayoutVars>
          <dgm:chPref val="3"/>
        </dgm:presLayoutVars>
      </dgm:prSet>
      <dgm:spPr/>
    </dgm:pt>
    <dgm:pt modelId="{12321796-BBA1-4CDC-90D1-365BC012D7A3}" type="pres">
      <dgm:prSet presAssocID="{D8328E0E-4051-4847-ADCD-C07FE3C0ACBD}" presName="rootConnector" presStyleLbl="node4" presStyleIdx="0" presStyleCnt="12"/>
      <dgm:spPr/>
    </dgm:pt>
    <dgm:pt modelId="{00FA5EB7-F879-46FF-9FE0-6DF15EED733C}" type="pres">
      <dgm:prSet presAssocID="{D8328E0E-4051-4847-ADCD-C07FE3C0ACBD}" presName="hierChild4" presStyleCnt="0"/>
      <dgm:spPr/>
    </dgm:pt>
    <dgm:pt modelId="{66145D9F-FC3E-4BDB-B23F-A6436EE7DE49}" type="pres">
      <dgm:prSet presAssocID="{B6A68227-0E69-463D-BEE0-BF0165806A42}" presName="Name37" presStyleLbl="parChTrans1D4" presStyleIdx="1" presStyleCnt="12"/>
      <dgm:spPr/>
    </dgm:pt>
    <dgm:pt modelId="{1586B48F-AB5C-444C-918E-A965341E8D2D}" type="pres">
      <dgm:prSet presAssocID="{BB05E1BC-7AC1-45A8-8A4A-E54BEFD3A043}" presName="hierRoot2" presStyleCnt="0">
        <dgm:presLayoutVars>
          <dgm:hierBranch val="init"/>
        </dgm:presLayoutVars>
      </dgm:prSet>
      <dgm:spPr/>
    </dgm:pt>
    <dgm:pt modelId="{9C5183B6-E0A3-454F-B218-CA937539D826}" type="pres">
      <dgm:prSet presAssocID="{BB05E1BC-7AC1-45A8-8A4A-E54BEFD3A043}" presName="rootComposite" presStyleCnt="0"/>
      <dgm:spPr/>
    </dgm:pt>
    <dgm:pt modelId="{305D9CFA-E872-477F-9C4D-059D8CDA0FB2}" type="pres">
      <dgm:prSet presAssocID="{BB05E1BC-7AC1-45A8-8A4A-E54BEFD3A043}" presName="rootText" presStyleLbl="node4" presStyleIdx="1" presStyleCnt="12">
        <dgm:presLayoutVars>
          <dgm:chPref val="3"/>
        </dgm:presLayoutVars>
      </dgm:prSet>
      <dgm:spPr>
        <a:prstGeom prst="round2DiagRect">
          <a:avLst/>
        </a:prstGeom>
      </dgm:spPr>
    </dgm:pt>
    <dgm:pt modelId="{BF4B4468-F6A2-4508-9AF6-44F2C319885E}" type="pres">
      <dgm:prSet presAssocID="{BB05E1BC-7AC1-45A8-8A4A-E54BEFD3A043}" presName="rootConnector" presStyleLbl="node4" presStyleIdx="1" presStyleCnt="12"/>
      <dgm:spPr/>
    </dgm:pt>
    <dgm:pt modelId="{FD7567A4-6B59-4E89-8668-5D31C09AF6C8}" type="pres">
      <dgm:prSet presAssocID="{BB05E1BC-7AC1-45A8-8A4A-E54BEFD3A043}" presName="hierChild4" presStyleCnt="0"/>
      <dgm:spPr/>
    </dgm:pt>
    <dgm:pt modelId="{F5110AA7-AF3C-4EEE-A764-9ADC0A71F9D9}" type="pres">
      <dgm:prSet presAssocID="{BB05E1BC-7AC1-45A8-8A4A-E54BEFD3A043}" presName="hierChild5" presStyleCnt="0"/>
      <dgm:spPr/>
    </dgm:pt>
    <dgm:pt modelId="{3AC50E8A-E400-4DEE-9E26-5F98C2C1D68D}" type="pres">
      <dgm:prSet presAssocID="{D8328E0E-4051-4847-ADCD-C07FE3C0ACBD}" presName="hierChild5" presStyleCnt="0"/>
      <dgm:spPr/>
    </dgm:pt>
    <dgm:pt modelId="{2C350071-BBB0-47F2-8501-3B14AF11E6F0}" type="pres">
      <dgm:prSet presAssocID="{571DBB2A-122C-420F-A1AF-04997CDC40A2}" presName="Name37" presStyleLbl="parChTrans1D4" presStyleIdx="2" presStyleCnt="12"/>
      <dgm:spPr/>
    </dgm:pt>
    <dgm:pt modelId="{6E99DAB0-90C8-4C40-8319-29EA520A68A7}" type="pres">
      <dgm:prSet presAssocID="{1BA88330-1D4F-41FE-A779-64BBAC7B5F77}" presName="hierRoot2" presStyleCnt="0">
        <dgm:presLayoutVars>
          <dgm:hierBranch val="init"/>
        </dgm:presLayoutVars>
      </dgm:prSet>
      <dgm:spPr/>
    </dgm:pt>
    <dgm:pt modelId="{17CA8ADD-167D-4332-9DDC-15A7154E96CD}" type="pres">
      <dgm:prSet presAssocID="{1BA88330-1D4F-41FE-A779-64BBAC7B5F77}" presName="rootComposite" presStyleCnt="0"/>
      <dgm:spPr/>
    </dgm:pt>
    <dgm:pt modelId="{87E41D2C-EC6B-48AB-A97C-F89D989C9B1A}" type="pres">
      <dgm:prSet presAssocID="{1BA88330-1D4F-41FE-A779-64BBAC7B5F77}" presName="rootText" presStyleLbl="node4" presStyleIdx="2" presStyleCnt="12">
        <dgm:presLayoutVars>
          <dgm:chPref val="3"/>
        </dgm:presLayoutVars>
      </dgm:prSet>
      <dgm:spPr/>
    </dgm:pt>
    <dgm:pt modelId="{A2AFC9F6-CF4E-49CE-A84E-7BDD501AC9BE}" type="pres">
      <dgm:prSet presAssocID="{1BA88330-1D4F-41FE-A779-64BBAC7B5F77}" presName="rootConnector" presStyleLbl="node4" presStyleIdx="2" presStyleCnt="12"/>
      <dgm:spPr/>
    </dgm:pt>
    <dgm:pt modelId="{1BF0DDB2-90EA-4A54-862D-AC0CA6D3485E}" type="pres">
      <dgm:prSet presAssocID="{1BA88330-1D4F-41FE-A779-64BBAC7B5F77}" presName="hierChild4" presStyleCnt="0"/>
      <dgm:spPr/>
    </dgm:pt>
    <dgm:pt modelId="{FF4850A1-BF17-4A5A-8881-8E41B8BE9F0E}" type="pres">
      <dgm:prSet presAssocID="{1C2F213E-B9F0-44B4-B221-788E9B292045}" presName="Name37" presStyleLbl="parChTrans1D4" presStyleIdx="3" presStyleCnt="12"/>
      <dgm:spPr/>
    </dgm:pt>
    <dgm:pt modelId="{3429532B-3092-4016-A8E4-9AE5FDDF8154}" type="pres">
      <dgm:prSet presAssocID="{7501E294-BF2B-492E-B925-0837BE2B4E18}" presName="hierRoot2" presStyleCnt="0">
        <dgm:presLayoutVars>
          <dgm:hierBranch val="init"/>
        </dgm:presLayoutVars>
      </dgm:prSet>
      <dgm:spPr/>
    </dgm:pt>
    <dgm:pt modelId="{BD9966E0-E901-486C-8023-06872744489C}" type="pres">
      <dgm:prSet presAssocID="{7501E294-BF2B-492E-B925-0837BE2B4E18}" presName="rootComposite" presStyleCnt="0"/>
      <dgm:spPr/>
    </dgm:pt>
    <dgm:pt modelId="{67A05B9B-3382-410A-82B1-F66C88AF763B}" type="pres">
      <dgm:prSet presAssocID="{7501E294-BF2B-492E-B925-0837BE2B4E18}" presName="rootText" presStyleLbl="node4" presStyleIdx="3" presStyleCnt="12">
        <dgm:presLayoutVars>
          <dgm:chPref val="3"/>
        </dgm:presLayoutVars>
      </dgm:prSet>
      <dgm:spPr>
        <a:prstGeom prst="round2DiagRect">
          <a:avLst/>
        </a:prstGeom>
      </dgm:spPr>
    </dgm:pt>
    <dgm:pt modelId="{1CD24E4E-3F57-4758-BCD3-C52F01983C07}" type="pres">
      <dgm:prSet presAssocID="{7501E294-BF2B-492E-B925-0837BE2B4E18}" presName="rootConnector" presStyleLbl="node4" presStyleIdx="3" presStyleCnt="12"/>
      <dgm:spPr/>
    </dgm:pt>
    <dgm:pt modelId="{A4D52D3C-F6A9-44F2-9182-BA42222A28E3}" type="pres">
      <dgm:prSet presAssocID="{7501E294-BF2B-492E-B925-0837BE2B4E18}" presName="hierChild4" presStyleCnt="0"/>
      <dgm:spPr/>
    </dgm:pt>
    <dgm:pt modelId="{611BE890-5F7D-4E81-B8DC-99A79A991AD2}" type="pres">
      <dgm:prSet presAssocID="{7501E294-BF2B-492E-B925-0837BE2B4E18}" presName="hierChild5" presStyleCnt="0"/>
      <dgm:spPr/>
    </dgm:pt>
    <dgm:pt modelId="{5513B8DD-3DE0-4EE6-8A84-7085C78D5A5F}" type="pres">
      <dgm:prSet presAssocID="{1BA88330-1D4F-41FE-A779-64BBAC7B5F77}" presName="hierChild5" presStyleCnt="0"/>
      <dgm:spPr/>
    </dgm:pt>
    <dgm:pt modelId="{2BD0F94E-07D6-44BE-8EE4-D86DFCC382F5}" type="pres">
      <dgm:prSet presAssocID="{0BEC5F05-C511-4019-8BF5-989BECA018C1}" presName="hierChild5" presStyleCnt="0"/>
      <dgm:spPr/>
    </dgm:pt>
    <dgm:pt modelId="{638099E3-55C4-4DE7-9C24-3E7745B7E11A}" type="pres">
      <dgm:prSet presAssocID="{ADA3BF3D-3782-4A80-9EC4-7BF17325AB5F}" presName="Name37" presStyleLbl="parChTrans1D3" presStyleIdx="2" presStyleCnt="3"/>
      <dgm:spPr/>
    </dgm:pt>
    <dgm:pt modelId="{CDEE9E46-B05A-40B6-96E8-E8D04AD17889}" type="pres">
      <dgm:prSet presAssocID="{ED0334C8-B3CF-4571-90F6-107B3BBE79A6}" presName="hierRoot2" presStyleCnt="0">
        <dgm:presLayoutVars>
          <dgm:hierBranch val="init"/>
        </dgm:presLayoutVars>
      </dgm:prSet>
      <dgm:spPr/>
    </dgm:pt>
    <dgm:pt modelId="{D4FD17B4-2E00-4F17-BEA5-C49A3FDA5FF1}" type="pres">
      <dgm:prSet presAssocID="{ED0334C8-B3CF-4571-90F6-107B3BBE79A6}" presName="rootComposite" presStyleCnt="0"/>
      <dgm:spPr/>
    </dgm:pt>
    <dgm:pt modelId="{91BBC387-17C7-4B75-A434-DAFE09081A8F}" type="pres">
      <dgm:prSet presAssocID="{ED0334C8-B3CF-4571-90F6-107B3BBE79A6}" presName="rootText" presStyleLbl="node3" presStyleIdx="2" presStyleCnt="3">
        <dgm:presLayoutVars>
          <dgm:chPref val="3"/>
        </dgm:presLayoutVars>
      </dgm:prSet>
      <dgm:spPr/>
    </dgm:pt>
    <dgm:pt modelId="{16E97DDF-A373-4796-8E3D-25F4202BDF22}" type="pres">
      <dgm:prSet presAssocID="{ED0334C8-B3CF-4571-90F6-107B3BBE79A6}" presName="rootConnector" presStyleLbl="node3" presStyleIdx="2" presStyleCnt="3"/>
      <dgm:spPr/>
    </dgm:pt>
    <dgm:pt modelId="{9AC24697-C149-4B61-9A9B-971CE4784DD6}" type="pres">
      <dgm:prSet presAssocID="{ED0334C8-B3CF-4571-90F6-107B3BBE79A6}" presName="hierChild4" presStyleCnt="0"/>
      <dgm:spPr/>
    </dgm:pt>
    <dgm:pt modelId="{179087EC-F7A1-466E-8C41-E2DA395C4F9E}" type="pres">
      <dgm:prSet presAssocID="{55743EF1-CBF3-43F4-B15A-D34929CBE82F}" presName="Name37" presStyleLbl="parChTrans1D4" presStyleIdx="4" presStyleCnt="12"/>
      <dgm:spPr/>
    </dgm:pt>
    <dgm:pt modelId="{1A3B19F2-E32E-4E05-B19F-98BBBFA2B0C3}" type="pres">
      <dgm:prSet presAssocID="{B68C493D-6EF4-409C-AEB2-D788B3AD8F4F}" presName="hierRoot2" presStyleCnt="0">
        <dgm:presLayoutVars>
          <dgm:hierBranch val="init"/>
        </dgm:presLayoutVars>
      </dgm:prSet>
      <dgm:spPr/>
    </dgm:pt>
    <dgm:pt modelId="{89DF2AC6-A084-47EB-88DE-70E437B2A518}" type="pres">
      <dgm:prSet presAssocID="{B68C493D-6EF4-409C-AEB2-D788B3AD8F4F}" presName="rootComposite" presStyleCnt="0"/>
      <dgm:spPr/>
    </dgm:pt>
    <dgm:pt modelId="{C2B2486F-E45D-4F14-9F5A-64179C38D39A}" type="pres">
      <dgm:prSet presAssocID="{B68C493D-6EF4-409C-AEB2-D788B3AD8F4F}" presName="rootText" presStyleLbl="node4" presStyleIdx="4" presStyleCnt="12">
        <dgm:presLayoutVars>
          <dgm:chPref val="3"/>
        </dgm:presLayoutVars>
      </dgm:prSet>
      <dgm:spPr/>
    </dgm:pt>
    <dgm:pt modelId="{04B050E8-819B-4316-BF17-1CDB977C77DA}" type="pres">
      <dgm:prSet presAssocID="{B68C493D-6EF4-409C-AEB2-D788B3AD8F4F}" presName="rootConnector" presStyleLbl="node4" presStyleIdx="4" presStyleCnt="12"/>
      <dgm:spPr/>
    </dgm:pt>
    <dgm:pt modelId="{85FC26D2-3C67-4FD6-8574-B031BA867251}" type="pres">
      <dgm:prSet presAssocID="{B68C493D-6EF4-409C-AEB2-D788B3AD8F4F}" presName="hierChild4" presStyleCnt="0"/>
      <dgm:spPr/>
    </dgm:pt>
    <dgm:pt modelId="{4D1B445E-EC8A-4587-9390-5CA3A933BDFB}" type="pres">
      <dgm:prSet presAssocID="{864390C0-C3E4-4B8B-A996-00D8395AC886}" presName="Name37" presStyleLbl="parChTrans1D4" presStyleIdx="5" presStyleCnt="12"/>
      <dgm:spPr/>
    </dgm:pt>
    <dgm:pt modelId="{228F364A-0050-4B98-A578-4E78754FE781}" type="pres">
      <dgm:prSet presAssocID="{034B307A-86BC-4201-9CA3-9DEEA96207AF}" presName="hierRoot2" presStyleCnt="0">
        <dgm:presLayoutVars>
          <dgm:hierBranch val="init"/>
        </dgm:presLayoutVars>
      </dgm:prSet>
      <dgm:spPr/>
    </dgm:pt>
    <dgm:pt modelId="{42695CBB-BEBB-45CF-A803-3B9DC91782E7}" type="pres">
      <dgm:prSet presAssocID="{034B307A-86BC-4201-9CA3-9DEEA96207AF}" presName="rootComposite" presStyleCnt="0"/>
      <dgm:spPr/>
    </dgm:pt>
    <dgm:pt modelId="{D7B613EB-86D1-4FC1-8387-F645849024EB}" type="pres">
      <dgm:prSet presAssocID="{034B307A-86BC-4201-9CA3-9DEEA96207AF}" presName="rootText" presStyleLbl="node4" presStyleIdx="5" presStyleCnt="12">
        <dgm:presLayoutVars>
          <dgm:chPref val="3"/>
        </dgm:presLayoutVars>
      </dgm:prSet>
      <dgm:spPr>
        <a:prstGeom prst="round2DiagRect">
          <a:avLst/>
        </a:prstGeom>
      </dgm:spPr>
    </dgm:pt>
    <dgm:pt modelId="{F71A2866-689B-481D-BE95-0FBC3BEB18E6}" type="pres">
      <dgm:prSet presAssocID="{034B307A-86BC-4201-9CA3-9DEEA96207AF}" presName="rootConnector" presStyleLbl="node4" presStyleIdx="5" presStyleCnt="12"/>
      <dgm:spPr/>
    </dgm:pt>
    <dgm:pt modelId="{7E27D657-1210-421C-81E9-EDF55B8FD48F}" type="pres">
      <dgm:prSet presAssocID="{034B307A-86BC-4201-9CA3-9DEEA96207AF}" presName="hierChild4" presStyleCnt="0"/>
      <dgm:spPr/>
    </dgm:pt>
    <dgm:pt modelId="{075B6D3F-69F2-4368-A845-E11348357D1D}" type="pres">
      <dgm:prSet presAssocID="{034B307A-86BC-4201-9CA3-9DEEA96207AF}" presName="hierChild5" presStyleCnt="0"/>
      <dgm:spPr/>
    </dgm:pt>
    <dgm:pt modelId="{F4263FBF-E85D-40C1-812F-6C78FB7F55F6}" type="pres">
      <dgm:prSet presAssocID="{B68C493D-6EF4-409C-AEB2-D788B3AD8F4F}" presName="hierChild5" presStyleCnt="0"/>
      <dgm:spPr/>
    </dgm:pt>
    <dgm:pt modelId="{38A671C3-BC75-4B2C-819C-78F199ABE296}" type="pres">
      <dgm:prSet presAssocID="{FF0BD079-1011-4321-89E9-107A6C2DBC17}" presName="Name37" presStyleLbl="parChTrans1D4" presStyleIdx="6" presStyleCnt="12"/>
      <dgm:spPr/>
    </dgm:pt>
    <dgm:pt modelId="{3BADA2DB-797D-472C-A17D-BFBE4380E65B}" type="pres">
      <dgm:prSet presAssocID="{FFE24E7C-1C55-49D2-B98E-084CB2610B7A}" presName="hierRoot2" presStyleCnt="0">
        <dgm:presLayoutVars>
          <dgm:hierBranch val="init"/>
        </dgm:presLayoutVars>
      </dgm:prSet>
      <dgm:spPr/>
    </dgm:pt>
    <dgm:pt modelId="{1B80AE4A-5FDE-4503-8BCF-0884F3352137}" type="pres">
      <dgm:prSet presAssocID="{FFE24E7C-1C55-49D2-B98E-084CB2610B7A}" presName="rootComposite" presStyleCnt="0"/>
      <dgm:spPr/>
    </dgm:pt>
    <dgm:pt modelId="{2A5EF169-42A5-4916-9F56-35496AA3636C}" type="pres">
      <dgm:prSet presAssocID="{FFE24E7C-1C55-49D2-B98E-084CB2610B7A}" presName="rootText" presStyleLbl="node4" presStyleIdx="6" presStyleCnt="12">
        <dgm:presLayoutVars>
          <dgm:chPref val="3"/>
        </dgm:presLayoutVars>
      </dgm:prSet>
      <dgm:spPr/>
    </dgm:pt>
    <dgm:pt modelId="{BA4A7B95-F723-4718-AC11-B2FB9CC8CFFA}" type="pres">
      <dgm:prSet presAssocID="{FFE24E7C-1C55-49D2-B98E-084CB2610B7A}" presName="rootConnector" presStyleLbl="node4" presStyleIdx="6" presStyleCnt="12"/>
      <dgm:spPr/>
    </dgm:pt>
    <dgm:pt modelId="{483495F1-004C-403B-932B-FF4C44AAA06F}" type="pres">
      <dgm:prSet presAssocID="{FFE24E7C-1C55-49D2-B98E-084CB2610B7A}" presName="hierChild4" presStyleCnt="0"/>
      <dgm:spPr/>
    </dgm:pt>
    <dgm:pt modelId="{2A6C5EAD-BE5C-4FBB-8C60-B565271DFB1F}" type="pres">
      <dgm:prSet presAssocID="{EA71D1F2-99CD-4C36-BC91-F123BCA2164E}" presName="Name37" presStyleLbl="parChTrans1D4" presStyleIdx="7" presStyleCnt="12"/>
      <dgm:spPr/>
    </dgm:pt>
    <dgm:pt modelId="{6BC95045-C762-4E82-875E-454A689DF41D}" type="pres">
      <dgm:prSet presAssocID="{46B23F86-9DCB-46B6-A2B5-ADFC0DDC2042}" presName="hierRoot2" presStyleCnt="0">
        <dgm:presLayoutVars>
          <dgm:hierBranch val="init"/>
        </dgm:presLayoutVars>
      </dgm:prSet>
      <dgm:spPr/>
    </dgm:pt>
    <dgm:pt modelId="{7FB1B594-789B-4B56-BF5A-4F090F3F0BF0}" type="pres">
      <dgm:prSet presAssocID="{46B23F86-9DCB-46B6-A2B5-ADFC0DDC2042}" presName="rootComposite" presStyleCnt="0"/>
      <dgm:spPr/>
    </dgm:pt>
    <dgm:pt modelId="{F70C8DBB-3AAC-4DCD-8A92-7F55BFB91AA2}" type="pres">
      <dgm:prSet presAssocID="{46B23F86-9DCB-46B6-A2B5-ADFC0DDC2042}" presName="rootText" presStyleLbl="node4" presStyleIdx="7" presStyleCnt="12">
        <dgm:presLayoutVars>
          <dgm:chPref val="3"/>
        </dgm:presLayoutVars>
      </dgm:prSet>
      <dgm:spPr/>
    </dgm:pt>
    <dgm:pt modelId="{114D6D86-7C09-4AF5-8F4E-F2FC90005F9C}" type="pres">
      <dgm:prSet presAssocID="{46B23F86-9DCB-46B6-A2B5-ADFC0DDC2042}" presName="rootConnector" presStyleLbl="node4" presStyleIdx="7" presStyleCnt="12"/>
      <dgm:spPr/>
    </dgm:pt>
    <dgm:pt modelId="{ACF10476-AEF2-44AD-B468-AA54D1808D2D}" type="pres">
      <dgm:prSet presAssocID="{46B23F86-9DCB-46B6-A2B5-ADFC0DDC2042}" presName="hierChild4" presStyleCnt="0"/>
      <dgm:spPr/>
    </dgm:pt>
    <dgm:pt modelId="{BE05C936-50DC-422F-95B0-AF53F2080D66}" type="pres">
      <dgm:prSet presAssocID="{A1DB4B56-F67E-4DBD-82EA-DEC24031B837}" presName="Name37" presStyleLbl="parChTrans1D4" presStyleIdx="8" presStyleCnt="12"/>
      <dgm:spPr/>
    </dgm:pt>
    <dgm:pt modelId="{84FE2DCF-6F38-4C22-B35D-9D3A46C48D06}" type="pres">
      <dgm:prSet presAssocID="{5F830DA2-E6B5-4E9F-9694-A808F15C666C}" presName="hierRoot2" presStyleCnt="0">
        <dgm:presLayoutVars>
          <dgm:hierBranch val="init"/>
        </dgm:presLayoutVars>
      </dgm:prSet>
      <dgm:spPr/>
    </dgm:pt>
    <dgm:pt modelId="{0CFC24AA-BA25-4DD6-821F-3D1E77D5DE43}" type="pres">
      <dgm:prSet presAssocID="{5F830DA2-E6B5-4E9F-9694-A808F15C666C}" presName="rootComposite" presStyleCnt="0"/>
      <dgm:spPr/>
    </dgm:pt>
    <dgm:pt modelId="{096C4E01-5681-4BF7-B5D6-59617A9C03C9}" type="pres">
      <dgm:prSet presAssocID="{5F830DA2-E6B5-4E9F-9694-A808F15C666C}" presName="rootText" presStyleLbl="node4" presStyleIdx="8" presStyleCnt="12">
        <dgm:presLayoutVars>
          <dgm:chPref val="3"/>
        </dgm:presLayoutVars>
      </dgm:prSet>
      <dgm:spPr>
        <a:prstGeom prst="round2DiagRect">
          <a:avLst/>
        </a:prstGeom>
      </dgm:spPr>
    </dgm:pt>
    <dgm:pt modelId="{D477858C-2055-4207-AFBC-748AABD63D17}" type="pres">
      <dgm:prSet presAssocID="{5F830DA2-E6B5-4E9F-9694-A808F15C666C}" presName="rootConnector" presStyleLbl="node4" presStyleIdx="8" presStyleCnt="12"/>
      <dgm:spPr/>
    </dgm:pt>
    <dgm:pt modelId="{9341061F-B09D-4946-A5A2-696D4A84E864}" type="pres">
      <dgm:prSet presAssocID="{5F830DA2-E6B5-4E9F-9694-A808F15C666C}" presName="hierChild4" presStyleCnt="0"/>
      <dgm:spPr/>
    </dgm:pt>
    <dgm:pt modelId="{DD6796B5-6C0D-4FD0-BDE5-BACD5F60CFBD}" type="pres">
      <dgm:prSet presAssocID="{5F830DA2-E6B5-4E9F-9694-A808F15C666C}" presName="hierChild5" presStyleCnt="0"/>
      <dgm:spPr/>
    </dgm:pt>
    <dgm:pt modelId="{847B82EF-620F-4656-A06F-2C8178BE679C}" type="pres">
      <dgm:prSet presAssocID="{46B23F86-9DCB-46B6-A2B5-ADFC0DDC2042}" presName="hierChild5" presStyleCnt="0"/>
      <dgm:spPr/>
    </dgm:pt>
    <dgm:pt modelId="{A94AC8EE-63FB-45FE-9036-7A750831B026}" type="pres">
      <dgm:prSet presAssocID="{81709185-962B-4C87-BEA3-798F9F7B90DA}" presName="Name37" presStyleLbl="parChTrans1D4" presStyleIdx="9" presStyleCnt="12"/>
      <dgm:spPr/>
    </dgm:pt>
    <dgm:pt modelId="{C71E40B8-4AB3-4754-BD44-E06BA298BDF6}" type="pres">
      <dgm:prSet presAssocID="{3714D3EE-3C26-4FE1-A55B-0D2A9D8BE98B}" presName="hierRoot2" presStyleCnt="0">
        <dgm:presLayoutVars>
          <dgm:hierBranch val="init"/>
        </dgm:presLayoutVars>
      </dgm:prSet>
      <dgm:spPr/>
    </dgm:pt>
    <dgm:pt modelId="{D8AF4608-AF0C-4135-84DC-726444065A71}" type="pres">
      <dgm:prSet presAssocID="{3714D3EE-3C26-4FE1-A55B-0D2A9D8BE98B}" presName="rootComposite" presStyleCnt="0"/>
      <dgm:spPr/>
    </dgm:pt>
    <dgm:pt modelId="{50BC7B5A-89DC-4544-84A3-980626D604DF}" type="pres">
      <dgm:prSet presAssocID="{3714D3EE-3C26-4FE1-A55B-0D2A9D8BE98B}" presName="rootText" presStyleLbl="node4" presStyleIdx="9" presStyleCnt="12">
        <dgm:presLayoutVars>
          <dgm:chPref val="3"/>
        </dgm:presLayoutVars>
      </dgm:prSet>
      <dgm:spPr/>
    </dgm:pt>
    <dgm:pt modelId="{21D7E09D-17E7-4142-9B71-E58EBCDFC8BE}" type="pres">
      <dgm:prSet presAssocID="{3714D3EE-3C26-4FE1-A55B-0D2A9D8BE98B}" presName="rootConnector" presStyleLbl="node4" presStyleIdx="9" presStyleCnt="12"/>
      <dgm:spPr/>
    </dgm:pt>
    <dgm:pt modelId="{9E6530D2-E99A-4405-A5C6-15A500C26522}" type="pres">
      <dgm:prSet presAssocID="{3714D3EE-3C26-4FE1-A55B-0D2A9D8BE98B}" presName="hierChild4" presStyleCnt="0"/>
      <dgm:spPr/>
    </dgm:pt>
    <dgm:pt modelId="{5238CE4D-5E48-44FE-BB14-BDF990DCF071}" type="pres">
      <dgm:prSet presAssocID="{A9B8789C-87D4-4181-B1C5-B89600A641B1}" presName="Name37" presStyleLbl="parChTrans1D4" presStyleIdx="10" presStyleCnt="12"/>
      <dgm:spPr/>
    </dgm:pt>
    <dgm:pt modelId="{8F939904-EFD6-4186-9A8E-CA80FEBB2EEA}" type="pres">
      <dgm:prSet presAssocID="{1119774C-2E15-4467-ADC6-8F4CDF8D1441}" presName="hierRoot2" presStyleCnt="0">
        <dgm:presLayoutVars>
          <dgm:hierBranch val="init"/>
        </dgm:presLayoutVars>
      </dgm:prSet>
      <dgm:spPr/>
    </dgm:pt>
    <dgm:pt modelId="{A8CA8CF7-0E8F-475D-B3D8-C5507BA6FA58}" type="pres">
      <dgm:prSet presAssocID="{1119774C-2E15-4467-ADC6-8F4CDF8D1441}" presName="rootComposite" presStyleCnt="0"/>
      <dgm:spPr/>
    </dgm:pt>
    <dgm:pt modelId="{50A8EA85-D773-44BF-9BA7-55ABC9BEF65D}" type="pres">
      <dgm:prSet presAssocID="{1119774C-2E15-4467-ADC6-8F4CDF8D1441}" presName="rootText" presStyleLbl="node4" presStyleIdx="10" presStyleCnt="12">
        <dgm:presLayoutVars>
          <dgm:chPref val="3"/>
        </dgm:presLayoutVars>
      </dgm:prSet>
      <dgm:spPr>
        <a:prstGeom prst="round2DiagRect">
          <a:avLst/>
        </a:prstGeom>
      </dgm:spPr>
    </dgm:pt>
    <dgm:pt modelId="{D97F6558-85AE-4B12-94C9-68E3CB26632B}" type="pres">
      <dgm:prSet presAssocID="{1119774C-2E15-4467-ADC6-8F4CDF8D1441}" presName="rootConnector" presStyleLbl="node4" presStyleIdx="10" presStyleCnt="12"/>
      <dgm:spPr/>
    </dgm:pt>
    <dgm:pt modelId="{4733871F-4842-405C-A64B-8BDAF7A04E42}" type="pres">
      <dgm:prSet presAssocID="{1119774C-2E15-4467-ADC6-8F4CDF8D1441}" presName="hierChild4" presStyleCnt="0"/>
      <dgm:spPr/>
    </dgm:pt>
    <dgm:pt modelId="{94A87794-B7A7-4ACF-8EA7-6187D155815E}" type="pres">
      <dgm:prSet presAssocID="{1119774C-2E15-4467-ADC6-8F4CDF8D1441}" presName="hierChild5" presStyleCnt="0"/>
      <dgm:spPr/>
    </dgm:pt>
    <dgm:pt modelId="{EB50D01E-657C-434F-A9B3-2BA3F7AE20B7}" type="pres">
      <dgm:prSet presAssocID="{7C7E10DF-08B2-466A-932E-489E42D51E5E}" presName="Name37" presStyleLbl="parChTrans1D4" presStyleIdx="11" presStyleCnt="12"/>
      <dgm:spPr/>
    </dgm:pt>
    <dgm:pt modelId="{F819E476-F31F-4C01-BB21-365D9243B9B7}" type="pres">
      <dgm:prSet presAssocID="{176EF5EA-E794-4602-8434-6BAC70C08A11}" presName="hierRoot2" presStyleCnt="0">
        <dgm:presLayoutVars>
          <dgm:hierBranch val="init"/>
        </dgm:presLayoutVars>
      </dgm:prSet>
      <dgm:spPr/>
    </dgm:pt>
    <dgm:pt modelId="{5566A0C3-3EE6-419E-A2B4-D409221547AD}" type="pres">
      <dgm:prSet presAssocID="{176EF5EA-E794-4602-8434-6BAC70C08A11}" presName="rootComposite" presStyleCnt="0"/>
      <dgm:spPr/>
    </dgm:pt>
    <dgm:pt modelId="{F6A37FBE-1708-4748-80F3-336F567207EE}" type="pres">
      <dgm:prSet presAssocID="{176EF5EA-E794-4602-8434-6BAC70C08A11}" presName="rootText" presStyleLbl="node4" presStyleIdx="11" presStyleCnt="12">
        <dgm:presLayoutVars>
          <dgm:chPref val="3"/>
        </dgm:presLayoutVars>
      </dgm:prSet>
      <dgm:spPr>
        <a:prstGeom prst="round2DiagRect">
          <a:avLst/>
        </a:prstGeom>
      </dgm:spPr>
    </dgm:pt>
    <dgm:pt modelId="{4D7A6AD9-8E9A-42DC-AF95-8A7906DE1FFC}" type="pres">
      <dgm:prSet presAssocID="{176EF5EA-E794-4602-8434-6BAC70C08A11}" presName="rootConnector" presStyleLbl="node4" presStyleIdx="11" presStyleCnt="12"/>
      <dgm:spPr/>
    </dgm:pt>
    <dgm:pt modelId="{436709DE-B5E0-4070-80EF-D3A75196E00B}" type="pres">
      <dgm:prSet presAssocID="{176EF5EA-E794-4602-8434-6BAC70C08A11}" presName="hierChild4" presStyleCnt="0"/>
      <dgm:spPr/>
    </dgm:pt>
    <dgm:pt modelId="{90F4DD6B-7D52-4D45-80E6-9D7AB35C283A}" type="pres">
      <dgm:prSet presAssocID="{176EF5EA-E794-4602-8434-6BAC70C08A11}" presName="hierChild5" presStyleCnt="0"/>
      <dgm:spPr/>
    </dgm:pt>
    <dgm:pt modelId="{8E915E9A-4291-42E3-BFDD-01CC9D9CC873}" type="pres">
      <dgm:prSet presAssocID="{3714D3EE-3C26-4FE1-A55B-0D2A9D8BE98B}" presName="hierChild5" presStyleCnt="0"/>
      <dgm:spPr/>
    </dgm:pt>
    <dgm:pt modelId="{9A3B6947-A6DC-453D-8CD3-84E7A8D4F7D7}" type="pres">
      <dgm:prSet presAssocID="{FFE24E7C-1C55-49D2-B98E-084CB2610B7A}" presName="hierChild5" presStyleCnt="0"/>
      <dgm:spPr/>
    </dgm:pt>
    <dgm:pt modelId="{89AE2F30-64D7-42C5-BA0B-D3D3BB7B1ABF}" type="pres">
      <dgm:prSet presAssocID="{ED0334C8-B3CF-4571-90F6-107B3BBE79A6}" presName="hierChild5" presStyleCnt="0"/>
      <dgm:spPr/>
    </dgm:pt>
    <dgm:pt modelId="{9BD19F05-A1BA-4852-A99C-CF63231692BA}" type="pres">
      <dgm:prSet presAssocID="{79CB15BD-D997-4750-A67C-D33EF7455AC2}" presName="hierChild5" presStyleCnt="0"/>
      <dgm:spPr/>
    </dgm:pt>
    <dgm:pt modelId="{AFFE185A-001F-4908-90F0-35DF8F7F3663}" type="pres">
      <dgm:prSet presAssocID="{97706652-46AA-473A-80C0-5581DC69DCA3}" presName="hierChild3" presStyleCnt="0"/>
      <dgm:spPr/>
    </dgm:pt>
  </dgm:ptLst>
  <dgm:cxnLst>
    <dgm:cxn modelId="{99591001-AB8B-402F-B117-678C1B5C3AB5}" type="presOf" srcId="{0BEC5F05-C511-4019-8BF5-989BECA018C1}" destId="{214F93B0-8FA3-418C-A2A8-98ADF5009073}" srcOrd="1" destOrd="0" presId="urn:microsoft.com/office/officeart/2005/8/layout/orgChart1"/>
    <dgm:cxn modelId="{9653D801-B70A-4AB9-A1D9-4455403E728E}" srcId="{3714D3EE-3C26-4FE1-A55B-0D2A9D8BE98B}" destId="{1119774C-2E15-4467-ADC6-8F4CDF8D1441}" srcOrd="0" destOrd="0" parTransId="{A9B8789C-87D4-4181-B1C5-B89600A641B1}" sibTransId="{DDF9F74C-49EF-4A9E-934D-123F7A0559B7}"/>
    <dgm:cxn modelId="{78E71A02-C396-4987-95E2-D3E343B24874}" type="presOf" srcId="{3714D3EE-3C26-4FE1-A55B-0D2A9D8BE98B}" destId="{21D7E09D-17E7-4142-9B71-E58EBCDFC8BE}" srcOrd="1" destOrd="0" presId="urn:microsoft.com/office/officeart/2005/8/layout/orgChart1"/>
    <dgm:cxn modelId="{F91D6706-B5DF-44BC-A1F8-2C7A31F825FA}" type="presOf" srcId="{1BA88330-1D4F-41FE-A779-64BBAC7B5F77}" destId="{A2AFC9F6-CF4E-49CE-A84E-7BDD501AC9BE}" srcOrd="1" destOrd="0" presId="urn:microsoft.com/office/officeart/2005/8/layout/orgChart1"/>
    <dgm:cxn modelId="{48C3080F-67F6-4C73-BD98-2E12578D421E}" type="presOf" srcId="{A9B8789C-87D4-4181-B1C5-B89600A641B1}" destId="{5238CE4D-5E48-44FE-BB14-BDF990DCF071}" srcOrd="0" destOrd="0" presId="urn:microsoft.com/office/officeart/2005/8/layout/orgChart1"/>
    <dgm:cxn modelId="{E86E5F16-B3AD-41F4-833E-3D59ED306367}" type="presOf" srcId="{FFE24E7C-1C55-49D2-B98E-084CB2610B7A}" destId="{2A5EF169-42A5-4916-9F56-35496AA3636C}" srcOrd="0" destOrd="0" presId="urn:microsoft.com/office/officeart/2005/8/layout/orgChart1"/>
    <dgm:cxn modelId="{A3DE8916-2152-4459-B50A-1CA50EF109EF}" type="presOf" srcId="{51CB601E-D230-4172-851D-12FFE831B6FE}" destId="{7A439DA7-6610-44BE-A2DE-32C68DB38DDB}" srcOrd="0" destOrd="0" presId="urn:microsoft.com/office/officeart/2005/8/layout/orgChart1"/>
    <dgm:cxn modelId="{BF7CE118-77D1-45BA-8949-E1141759E454}" srcId="{FFE24E7C-1C55-49D2-B98E-084CB2610B7A}" destId="{3714D3EE-3C26-4FE1-A55B-0D2A9D8BE98B}" srcOrd="1" destOrd="0" parTransId="{81709185-962B-4C87-BEA3-798F9F7B90DA}" sibTransId="{6E179B6D-DD37-451D-8C71-DA3F6DB6D20C}"/>
    <dgm:cxn modelId="{42E2AA19-7954-4969-84EE-9433B1D1C08B}" type="presOf" srcId="{BEF2B0F2-E8C5-4A4A-8677-370015EF0246}" destId="{BCDB8714-AA53-47ED-B3E0-88E91FF3EC80}" srcOrd="0" destOrd="0" presId="urn:microsoft.com/office/officeart/2005/8/layout/orgChart1"/>
    <dgm:cxn modelId="{822B1D1A-E3A4-4E19-8BF6-C2AFFE019D8A}" type="presOf" srcId="{571DBB2A-122C-420F-A1AF-04997CDC40A2}" destId="{2C350071-BBB0-47F2-8501-3B14AF11E6F0}" srcOrd="0" destOrd="0" presId="urn:microsoft.com/office/officeart/2005/8/layout/orgChart1"/>
    <dgm:cxn modelId="{4B448B22-69EC-4834-95EB-BCA0EDDFB3A0}" type="presOf" srcId="{79CB15BD-D997-4750-A67C-D33EF7455AC2}" destId="{8B6E9BA4-8873-4CC0-A0DA-9D730F6DD832}" srcOrd="0" destOrd="0" presId="urn:microsoft.com/office/officeart/2005/8/layout/orgChart1"/>
    <dgm:cxn modelId="{D925EC29-75CF-4A2B-A671-6FEC866EE789}" srcId="{1BA88330-1D4F-41FE-A779-64BBAC7B5F77}" destId="{7501E294-BF2B-492E-B925-0837BE2B4E18}" srcOrd="0" destOrd="0" parTransId="{1C2F213E-B9F0-44B4-B221-788E9B292045}" sibTransId="{764EA219-82F0-47DC-984B-DD7AF36941C5}"/>
    <dgm:cxn modelId="{C628B52D-3372-490B-9DEA-7BF9F70715D5}" type="presOf" srcId="{176EF5EA-E794-4602-8434-6BAC70C08A11}" destId="{4D7A6AD9-8E9A-42DC-AF95-8A7906DE1FFC}" srcOrd="1" destOrd="0" presId="urn:microsoft.com/office/officeart/2005/8/layout/orgChart1"/>
    <dgm:cxn modelId="{312D402E-D277-47E6-889F-1CDBC42A5E94}" type="presOf" srcId="{ADA3BF3D-3782-4A80-9EC4-7BF17325AB5F}" destId="{638099E3-55C4-4DE7-9C24-3E7745B7E11A}" srcOrd="0" destOrd="0" presId="urn:microsoft.com/office/officeart/2005/8/layout/orgChart1"/>
    <dgm:cxn modelId="{9D6D2D2F-F163-43A5-93CB-AA09D153713D}" type="presOf" srcId="{0BEC5F05-C511-4019-8BF5-989BECA018C1}" destId="{7B6ABDB9-2347-433C-A170-A78286B509E4}" srcOrd="0" destOrd="0" presId="urn:microsoft.com/office/officeart/2005/8/layout/orgChart1"/>
    <dgm:cxn modelId="{11D0D635-23FA-4439-A146-ECAF183A9AA8}" type="presOf" srcId="{1119774C-2E15-4467-ADC6-8F4CDF8D1441}" destId="{50A8EA85-D773-44BF-9BA7-55ABC9BEF65D}" srcOrd="0" destOrd="0" presId="urn:microsoft.com/office/officeart/2005/8/layout/orgChart1"/>
    <dgm:cxn modelId="{76112C36-E14D-4467-B57C-520BD2C5EAB1}" srcId="{46B23F86-9DCB-46B6-A2B5-ADFC0DDC2042}" destId="{5F830DA2-E6B5-4E9F-9694-A808F15C666C}" srcOrd="0" destOrd="0" parTransId="{A1DB4B56-F67E-4DBD-82EA-DEC24031B837}" sibTransId="{05469874-ED30-48BA-9B8B-F3D180041755}"/>
    <dgm:cxn modelId="{C761AA36-06E7-4025-9ADC-A4B19040BEEA}" type="presOf" srcId="{EA71D1F2-99CD-4C36-BC91-F123BCA2164E}" destId="{2A6C5EAD-BE5C-4FBB-8C60-B565271DFB1F}" srcOrd="0" destOrd="0" presId="urn:microsoft.com/office/officeart/2005/8/layout/orgChart1"/>
    <dgm:cxn modelId="{FFC9BA39-FBB0-4A35-A790-8D59CA3B7D93}" srcId="{79CB15BD-D997-4750-A67C-D33EF7455AC2}" destId="{ED0334C8-B3CF-4571-90F6-107B3BBE79A6}" srcOrd="1" destOrd="0" parTransId="{ADA3BF3D-3782-4A80-9EC4-7BF17325AB5F}" sibTransId="{57823DE6-3AF3-4581-A885-ADEE22A3E7C7}"/>
    <dgm:cxn modelId="{26EE883E-3E5B-4834-AB91-4E94C0EA27AE}" type="presOf" srcId="{55743EF1-CBF3-43F4-B15A-D34929CBE82F}" destId="{179087EC-F7A1-466E-8C41-E2DA395C4F9E}" srcOrd="0" destOrd="0" presId="urn:microsoft.com/office/officeart/2005/8/layout/orgChart1"/>
    <dgm:cxn modelId="{7067585B-9ECF-4E06-B568-6CF3C7E6EF4E}" type="presOf" srcId="{81709185-962B-4C87-BEA3-798F9F7B90DA}" destId="{A94AC8EE-63FB-45FE-9036-7A750831B026}" srcOrd="0" destOrd="0" presId="urn:microsoft.com/office/officeart/2005/8/layout/orgChart1"/>
    <dgm:cxn modelId="{77F4345F-2A32-4A4E-884C-899D763C0DA4}" srcId="{0BEC5F05-C511-4019-8BF5-989BECA018C1}" destId="{D8328E0E-4051-4847-ADCD-C07FE3C0ACBD}" srcOrd="0" destOrd="0" parTransId="{95662136-9B33-47DB-A0E1-1EB60E8D9DC1}" sibTransId="{5FFDF04F-DE29-4363-9B03-29E8578A59A9}"/>
    <dgm:cxn modelId="{6F9A6C5F-64FF-4E4F-B418-A816EA32B793}" type="presOf" srcId="{B68C493D-6EF4-409C-AEB2-D788B3AD8F4F}" destId="{04B050E8-819B-4316-BF17-1CDB977C77DA}" srcOrd="1" destOrd="0" presId="urn:microsoft.com/office/officeart/2005/8/layout/orgChart1"/>
    <dgm:cxn modelId="{E90FE042-7362-4A7A-9AF8-D2E8E66D1C54}" srcId="{79CB15BD-D997-4750-A67C-D33EF7455AC2}" destId="{0BEC5F05-C511-4019-8BF5-989BECA018C1}" srcOrd="0" destOrd="0" parTransId="{471AD519-2F9C-4C1F-A38B-075E65459CD8}" sibTransId="{BAD0CDC3-6731-4D68-9511-C48AFB5E66D9}"/>
    <dgm:cxn modelId="{91250543-5394-4862-B2F7-2A5157EE01FE}" type="presOf" srcId="{D8328E0E-4051-4847-ADCD-C07FE3C0ACBD}" destId="{12321796-BBA1-4CDC-90D1-365BC012D7A3}" srcOrd="1" destOrd="0" presId="urn:microsoft.com/office/officeart/2005/8/layout/orgChart1"/>
    <dgm:cxn modelId="{88F0E846-7967-4047-AB0E-AB48F71A914B}" type="presOf" srcId="{46B23F86-9DCB-46B6-A2B5-ADFC0DDC2042}" destId="{114D6D86-7C09-4AF5-8F4E-F2FC90005F9C}" srcOrd="1" destOrd="0" presId="urn:microsoft.com/office/officeart/2005/8/layout/orgChart1"/>
    <dgm:cxn modelId="{F22D1B67-C2B1-4F5B-A2D2-58E19556A608}" type="presOf" srcId="{ED0334C8-B3CF-4571-90F6-107B3BBE79A6}" destId="{16E97DDF-A373-4796-8E3D-25F4202BDF22}" srcOrd="1" destOrd="0" presId="urn:microsoft.com/office/officeart/2005/8/layout/orgChart1"/>
    <dgm:cxn modelId="{8FD2F347-B108-47E7-8D84-B60A2E3E72D8}" type="presOf" srcId="{A1DB4B56-F67E-4DBD-82EA-DEC24031B837}" destId="{BE05C936-50DC-422F-95B0-AF53F2080D66}" srcOrd="0" destOrd="0" presId="urn:microsoft.com/office/officeart/2005/8/layout/orgChart1"/>
    <dgm:cxn modelId="{ACA3D448-B2C2-42BD-85F9-3F3CB5F65BFB}" type="presOf" srcId="{7501E294-BF2B-492E-B925-0837BE2B4E18}" destId="{67A05B9B-3382-410A-82B1-F66C88AF763B}" srcOrd="0" destOrd="0" presId="urn:microsoft.com/office/officeart/2005/8/layout/orgChart1"/>
    <dgm:cxn modelId="{DC2E2E69-1AD0-4D5E-8D0F-E2F44E066C10}" type="presOf" srcId="{471AD519-2F9C-4C1F-A38B-075E65459CD8}" destId="{09AB85C2-3028-4CB5-95F3-B2C62125F7B0}" srcOrd="0" destOrd="0" presId="urn:microsoft.com/office/officeart/2005/8/layout/orgChart1"/>
    <dgm:cxn modelId="{9E22364C-E518-4FDB-829B-84E3FE560142}" type="presOf" srcId="{15984266-7D78-42A0-BCF9-ECA28D1A33A5}" destId="{20CF2585-8A42-438F-A80C-8030A2BFAF50}" srcOrd="0" destOrd="0" presId="urn:microsoft.com/office/officeart/2005/8/layout/orgChart1"/>
    <dgm:cxn modelId="{00A8186E-6DEF-4015-B863-1171BE4600F8}" type="presOf" srcId="{79CB15BD-D997-4750-A67C-D33EF7455AC2}" destId="{E45F1DC8-67B8-4EFE-B18D-36DDE8A5B48A}" srcOrd="1" destOrd="0" presId="urn:microsoft.com/office/officeart/2005/8/layout/orgChart1"/>
    <dgm:cxn modelId="{D2BE3372-DA5D-4A4D-B773-747AA7C9899E}" type="presOf" srcId="{034B307A-86BC-4201-9CA3-9DEEA96207AF}" destId="{F71A2866-689B-481D-BE95-0FBC3BEB18E6}" srcOrd="1" destOrd="0" presId="urn:microsoft.com/office/officeart/2005/8/layout/orgChart1"/>
    <dgm:cxn modelId="{B35D3973-1427-466F-A810-D2282EE74C28}" srcId="{97706652-46AA-473A-80C0-5581DC69DCA3}" destId="{51CB601E-D230-4172-851D-12FFE831B6FE}" srcOrd="0" destOrd="0" parTransId="{F21E0F03-4746-4862-AB04-5C98B0C8D048}" sibTransId="{73EB0A27-6AFC-4A94-8A55-A35DBFBD065B}"/>
    <dgm:cxn modelId="{94D5B673-7C18-4077-875B-9F81682BB144}" type="presOf" srcId="{97706652-46AA-473A-80C0-5581DC69DCA3}" destId="{F49FE68C-7BF1-409D-A582-A865AD4E67E8}" srcOrd="0" destOrd="0" presId="urn:microsoft.com/office/officeart/2005/8/layout/orgChart1"/>
    <dgm:cxn modelId="{DD1C3575-C8B6-4629-A784-738077C305D7}" type="presOf" srcId="{ED0334C8-B3CF-4571-90F6-107B3BBE79A6}" destId="{91BBC387-17C7-4B75-A434-DAFE09081A8F}" srcOrd="0" destOrd="0" presId="urn:microsoft.com/office/officeart/2005/8/layout/orgChart1"/>
    <dgm:cxn modelId="{F6FC3A79-AB07-48EF-A84F-D05011EB9DF8}" type="presOf" srcId="{B68C493D-6EF4-409C-AEB2-D788B3AD8F4F}" destId="{C2B2486F-E45D-4F14-9F5A-64179C38D39A}" srcOrd="0" destOrd="0" presId="urn:microsoft.com/office/officeart/2005/8/layout/orgChart1"/>
    <dgm:cxn modelId="{646DCB7E-B173-4566-848F-B72279F58663}" srcId="{B68C493D-6EF4-409C-AEB2-D788B3AD8F4F}" destId="{034B307A-86BC-4201-9CA3-9DEEA96207AF}" srcOrd="0" destOrd="0" parTransId="{864390C0-C3E4-4B8B-A996-00D8395AC886}" sibTransId="{719C968A-0F59-49E2-9C59-0D949681BCEA}"/>
    <dgm:cxn modelId="{1C437080-171C-450C-9140-0EF2C3723D08}" type="presOf" srcId="{97706652-46AA-473A-80C0-5581DC69DCA3}" destId="{76C8E8F2-7843-4A05-8BCC-E7D26E0A62A4}" srcOrd="1" destOrd="0" presId="urn:microsoft.com/office/officeart/2005/8/layout/orgChart1"/>
    <dgm:cxn modelId="{E7B40685-8D60-462C-BE7A-EC2B3A74B979}" srcId="{ED0334C8-B3CF-4571-90F6-107B3BBE79A6}" destId="{FFE24E7C-1C55-49D2-B98E-084CB2610B7A}" srcOrd="1" destOrd="0" parTransId="{FF0BD079-1011-4321-89E9-107A6C2DBC17}" sibTransId="{C7E13A67-77B1-46CD-846F-7BB84ECB24A6}"/>
    <dgm:cxn modelId="{39897B85-3293-4CC9-891C-838A6D316C6C}" type="presOf" srcId="{B16ABF12-C891-40E5-BA71-FC8A18FD442F}" destId="{E274FC5D-E802-4EAA-BA61-C8CFB33ED887}" srcOrd="0" destOrd="0" presId="urn:microsoft.com/office/officeart/2005/8/layout/orgChart1"/>
    <dgm:cxn modelId="{D4DF7989-0EFF-44B2-9204-F796216128B3}" type="presOf" srcId="{46B23F86-9DCB-46B6-A2B5-ADFC0DDC2042}" destId="{F70C8DBB-3AAC-4DCD-8A92-7F55BFB91AA2}" srcOrd="0" destOrd="0" presId="urn:microsoft.com/office/officeart/2005/8/layout/orgChart1"/>
    <dgm:cxn modelId="{3816F789-B941-41E4-8C52-55822230CD6F}" type="presOf" srcId="{95662136-9B33-47DB-A0E1-1EB60E8D9DC1}" destId="{DD3F4439-48ED-424A-9B71-7793BC4A75AE}" srcOrd="0" destOrd="0" presId="urn:microsoft.com/office/officeart/2005/8/layout/orgChart1"/>
    <dgm:cxn modelId="{60DCA98A-56E8-4F80-A7FD-A1F98ED32128}" type="presOf" srcId="{5F830DA2-E6B5-4E9F-9694-A808F15C666C}" destId="{096C4E01-5681-4BF7-B5D6-59617A9C03C9}" srcOrd="0" destOrd="0" presId="urn:microsoft.com/office/officeart/2005/8/layout/orgChart1"/>
    <dgm:cxn modelId="{43CD618D-F99F-4D8C-996B-E0668B3C19E5}" type="presOf" srcId="{864390C0-C3E4-4B8B-A996-00D8395AC886}" destId="{4D1B445E-EC8A-4587-9390-5CA3A933BDFB}" srcOrd="0" destOrd="0" presId="urn:microsoft.com/office/officeart/2005/8/layout/orgChart1"/>
    <dgm:cxn modelId="{88CDF78D-708B-41FA-96D0-711F5A3C3BC2}" type="presOf" srcId="{FFE24E7C-1C55-49D2-B98E-084CB2610B7A}" destId="{BA4A7B95-F723-4718-AC11-B2FB9CC8CFFA}" srcOrd="1" destOrd="0" presId="urn:microsoft.com/office/officeart/2005/8/layout/orgChart1"/>
    <dgm:cxn modelId="{61853990-2845-40CC-8952-C14393B4FC95}" type="presOf" srcId="{176EF5EA-E794-4602-8434-6BAC70C08A11}" destId="{F6A37FBE-1708-4748-80F3-336F567207EE}" srcOrd="0" destOrd="0" presId="urn:microsoft.com/office/officeart/2005/8/layout/orgChart1"/>
    <dgm:cxn modelId="{0AD3E690-42D3-468A-929D-386B08D6D7E0}" type="presOf" srcId="{F21E0F03-4746-4862-AB04-5C98B0C8D048}" destId="{ECF42465-4450-40F5-938D-045A094FFBBA}" srcOrd="0" destOrd="0" presId="urn:microsoft.com/office/officeart/2005/8/layout/orgChart1"/>
    <dgm:cxn modelId="{C6F75093-9371-4486-AE40-751E2AD2F4A1}" type="presOf" srcId="{1C2F213E-B9F0-44B4-B221-788E9B292045}" destId="{FF4850A1-BF17-4A5A-8881-8E41B8BE9F0E}" srcOrd="0" destOrd="0" presId="urn:microsoft.com/office/officeart/2005/8/layout/orgChart1"/>
    <dgm:cxn modelId="{19AA2C97-F2D8-4F48-9F26-CF76283C240E}" type="presOf" srcId="{BB05E1BC-7AC1-45A8-8A4A-E54BEFD3A043}" destId="{BF4B4468-F6A2-4508-9AF6-44F2C319885E}" srcOrd="1" destOrd="0" presId="urn:microsoft.com/office/officeart/2005/8/layout/orgChart1"/>
    <dgm:cxn modelId="{7E9A6198-0AC6-44F5-862D-BBF80C317289}" type="presOf" srcId="{034B307A-86BC-4201-9CA3-9DEEA96207AF}" destId="{D7B613EB-86D1-4FC1-8387-F645849024EB}" srcOrd="0" destOrd="0" presId="urn:microsoft.com/office/officeart/2005/8/layout/orgChart1"/>
    <dgm:cxn modelId="{20252B9B-D2AF-4956-9188-A44A27C5C6C4}" type="presOf" srcId="{FF0BD079-1011-4321-89E9-107A6C2DBC17}" destId="{38A671C3-BC75-4B2C-819C-78F199ABE296}" srcOrd="0" destOrd="0" presId="urn:microsoft.com/office/officeart/2005/8/layout/orgChart1"/>
    <dgm:cxn modelId="{F5AD559D-4221-475D-9D35-5A0D4708DB2B}" type="presOf" srcId="{7C7E10DF-08B2-466A-932E-489E42D51E5E}" destId="{EB50D01E-657C-434F-A9B3-2BA3F7AE20B7}" srcOrd="0" destOrd="0" presId="urn:microsoft.com/office/officeart/2005/8/layout/orgChart1"/>
    <dgm:cxn modelId="{9862639E-ADCD-4727-AE1C-E8F62C45733C}" type="presOf" srcId="{B6A68227-0E69-463D-BEE0-BF0165806A42}" destId="{66145D9F-FC3E-4BDB-B23F-A6436EE7DE49}" srcOrd="0" destOrd="0" presId="urn:microsoft.com/office/officeart/2005/8/layout/orgChart1"/>
    <dgm:cxn modelId="{4465A69E-5E47-4BF2-8E9A-F5E89B55B9DF}" type="presOf" srcId="{BB05E1BC-7AC1-45A8-8A4A-E54BEFD3A043}" destId="{305D9CFA-E872-477F-9C4D-059D8CDA0FB2}" srcOrd="0" destOrd="0" presId="urn:microsoft.com/office/officeart/2005/8/layout/orgChart1"/>
    <dgm:cxn modelId="{0DA56D9F-52C4-436B-B5B4-A034BEF681BC}" type="presOf" srcId="{D8328E0E-4051-4847-ADCD-C07FE3C0ACBD}" destId="{948A369A-C032-434C-B84D-339DDA24BD76}" srcOrd="0" destOrd="0" presId="urn:microsoft.com/office/officeart/2005/8/layout/orgChart1"/>
    <dgm:cxn modelId="{922B749F-EBCB-4CED-8881-1744CBA895C6}" srcId="{FFE24E7C-1C55-49D2-B98E-084CB2610B7A}" destId="{46B23F86-9DCB-46B6-A2B5-ADFC0DDC2042}" srcOrd="0" destOrd="0" parTransId="{EA71D1F2-99CD-4C36-BC91-F123BCA2164E}" sibTransId="{8CBB9DAC-8265-4329-BCA8-31013D235640}"/>
    <dgm:cxn modelId="{15B0D8A2-28F6-49A1-88AD-3D397E4E410E}" srcId="{97706652-46AA-473A-80C0-5581DC69DCA3}" destId="{79CB15BD-D997-4750-A67C-D33EF7455AC2}" srcOrd="1" destOrd="0" parTransId="{B16ABF12-C891-40E5-BA71-FC8A18FD442F}" sibTransId="{3E1155BC-FE67-468F-9438-EAAF47F15F0F}"/>
    <dgm:cxn modelId="{E15054B0-AD22-4C20-A420-0CC637D33E8C}" srcId="{DA6C7E17-D8C1-43BE-892D-90D2692305DA}" destId="{97706652-46AA-473A-80C0-5581DC69DCA3}" srcOrd="0" destOrd="0" parTransId="{1BAD5D1B-15CB-45C2-BD1F-5E1FE578A313}" sibTransId="{133FC39D-5E96-4B1A-8B40-D23BFE6CEF4E}"/>
    <dgm:cxn modelId="{D1D430B1-BB56-49DC-ABDF-BF21FF3DC6FB}" type="presOf" srcId="{DA6C7E17-D8C1-43BE-892D-90D2692305DA}" destId="{996B0B86-246E-4C87-AFCF-F57A81ED6D95}" srcOrd="0" destOrd="0" presId="urn:microsoft.com/office/officeart/2005/8/layout/orgChart1"/>
    <dgm:cxn modelId="{00A004B5-0CE6-457C-B118-B972FACCB1A8}" srcId="{3714D3EE-3C26-4FE1-A55B-0D2A9D8BE98B}" destId="{176EF5EA-E794-4602-8434-6BAC70C08A11}" srcOrd="1" destOrd="0" parTransId="{7C7E10DF-08B2-466A-932E-489E42D51E5E}" sibTransId="{7BDDB5B1-C043-4092-9206-E5BFB52238B9}"/>
    <dgm:cxn modelId="{D831C2B7-FE11-451E-9AA2-CFDBA27D560F}" srcId="{ED0334C8-B3CF-4571-90F6-107B3BBE79A6}" destId="{B68C493D-6EF4-409C-AEB2-D788B3AD8F4F}" srcOrd="0" destOrd="0" parTransId="{55743EF1-CBF3-43F4-B15A-D34929CBE82F}" sibTransId="{62754AA2-D370-4D6C-86F1-33F4920FAB6B}"/>
    <dgm:cxn modelId="{7CF4E1BA-B190-419B-B61A-AD42A709FB09}" srcId="{0BEC5F05-C511-4019-8BF5-989BECA018C1}" destId="{1BA88330-1D4F-41FE-A779-64BBAC7B5F77}" srcOrd="1" destOrd="0" parTransId="{571DBB2A-122C-420F-A1AF-04997CDC40A2}" sibTransId="{EFE4A7BE-E5BC-4411-857C-4AF0FD106A78}"/>
    <dgm:cxn modelId="{3E644EBD-B5CA-465D-9C83-FEBFF87A823B}" type="presOf" srcId="{BEF2B0F2-E8C5-4A4A-8677-370015EF0246}" destId="{F71ED633-28AB-42B6-8585-D976131D4CD1}" srcOrd="1" destOrd="0" presId="urn:microsoft.com/office/officeart/2005/8/layout/orgChart1"/>
    <dgm:cxn modelId="{685995BF-724D-4A71-970F-0BB023617670}" type="presOf" srcId="{51CB601E-D230-4172-851D-12FFE831B6FE}" destId="{874B007D-6228-483C-9374-D5B3DA51B03D}" srcOrd="1" destOrd="0" presId="urn:microsoft.com/office/officeart/2005/8/layout/orgChart1"/>
    <dgm:cxn modelId="{C04671C1-7211-4977-8841-28E36F85F7C1}" type="presOf" srcId="{7501E294-BF2B-492E-B925-0837BE2B4E18}" destId="{1CD24E4E-3F57-4758-BCD3-C52F01983C07}" srcOrd="1" destOrd="0" presId="urn:microsoft.com/office/officeart/2005/8/layout/orgChart1"/>
    <dgm:cxn modelId="{BBB00DD4-9666-47A6-A34B-9D245C3F2F56}" type="presOf" srcId="{1119774C-2E15-4467-ADC6-8F4CDF8D1441}" destId="{D97F6558-85AE-4B12-94C9-68E3CB26632B}" srcOrd="1" destOrd="0" presId="urn:microsoft.com/office/officeart/2005/8/layout/orgChart1"/>
    <dgm:cxn modelId="{252EF3D5-9C94-460B-B22E-BC1D2ACABE4A}" type="presOf" srcId="{3714D3EE-3C26-4FE1-A55B-0D2A9D8BE98B}" destId="{50BC7B5A-89DC-4544-84A3-980626D604DF}" srcOrd="0" destOrd="0" presId="urn:microsoft.com/office/officeart/2005/8/layout/orgChart1"/>
    <dgm:cxn modelId="{784D17D6-BAD4-4D3A-9AC2-D63C66D908FF}" type="presOf" srcId="{1BA88330-1D4F-41FE-A779-64BBAC7B5F77}" destId="{87E41D2C-EC6B-48AB-A97C-F89D989C9B1A}" srcOrd="0" destOrd="0" presId="urn:microsoft.com/office/officeart/2005/8/layout/orgChart1"/>
    <dgm:cxn modelId="{4522EEE2-5E30-4BAC-83AB-14BFB552E872}" srcId="{51CB601E-D230-4172-851D-12FFE831B6FE}" destId="{BEF2B0F2-E8C5-4A4A-8677-370015EF0246}" srcOrd="0" destOrd="0" parTransId="{15984266-7D78-42A0-BCF9-ECA28D1A33A5}" sibTransId="{F239E8AE-313D-41F2-B60E-30D4CDB3DCBE}"/>
    <dgm:cxn modelId="{135162ED-3E9A-4581-88F1-0372A4C9268E}" type="presOf" srcId="{5F830DA2-E6B5-4E9F-9694-A808F15C666C}" destId="{D477858C-2055-4207-AFBC-748AABD63D17}" srcOrd="1" destOrd="0" presId="urn:microsoft.com/office/officeart/2005/8/layout/orgChart1"/>
    <dgm:cxn modelId="{51EB6DEE-7779-4DE0-8745-12C0FC4E1FFE}" srcId="{D8328E0E-4051-4847-ADCD-C07FE3C0ACBD}" destId="{BB05E1BC-7AC1-45A8-8A4A-E54BEFD3A043}" srcOrd="0" destOrd="0" parTransId="{B6A68227-0E69-463D-BEE0-BF0165806A42}" sibTransId="{D5659D32-4E43-47C7-AEC1-F9607952F2ED}"/>
    <dgm:cxn modelId="{7D3AD7BB-4184-4AA0-9803-AA926C54E36D}" type="presParOf" srcId="{996B0B86-246E-4C87-AFCF-F57A81ED6D95}" destId="{2468BF1C-A4A6-4DE0-B45A-6883C81317C0}" srcOrd="0" destOrd="0" presId="urn:microsoft.com/office/officeart/2005/8/layout/orgChart1"/>
    <dgm:cxn modelId="{B72DD7B0-6D99-4DD2-9A4F-AA0F99FBBB78}" type="presParOf" srcId="{2468BF1C-A4A6-4DE0-B45A-6883C81317C0}" destId="{11E57571-F725-47BB-83CC-E9529950258C}" srcOrd="0" destOrd="0" presId="urn:microsoft.com/office/officeart/2005/8/layout/orgChart1"/>
    <dgm:cxn modelId="{DB93E445-86E2-4DD0-BC07-2C944C9A4E2D}" type="presParOf" srcId="{11E57571-F725-47BB-83CC-E9529950258C}" destId="{F49FE68C-7BF1-409D-A582-A865AD4E67E8}" srcOrd="0" destOrd="0" presId="urn:microsoft.com/office/officeart/2005/8/layout/orgChart1"/>
    <dgm:cxn modelId="{4DD98112-3C2C-454E-9048-D3A9C198A7E3}" type="presParOf" srcId="{11E57571-F725-47BB-83CC-E9529950258C}" destId="{76C8E8F2-7843-4A05-8BCC-E7D26E0A62A4}" srcOrd="1" destOrd="0" presId="urn:microsoft.com/office/officeart/2005/8/layout/orgChart1"/>
    <dgm:cxn modelId="{3D62BFE3-047D-4C5A-A0B3-A2C797A3C1E0}" type="presParOf" srcId="{2468BF1C-A4A6-4DE0-B45A-6883C81317C0}" destId="{3BA3BB1D-85F2-4BD8-BC3C-3E0F1BDF7102}" srcOrd="1" destOrd="0" presId="urn:microsoft.com/office/officeart/2005/8/layout/orgChart1"/>
    <dgm:cxn modelId="{14875D66-A782-4720-9E0E-8BCDC5C65480}" type="presParOf" srcId="{3BA3BB1D-85F2-4BD8-BC3C-3E0F1BDF7102}" destId="{ECF42465-4450-40F5-938D-045A094FFBBA}" srcOrd="0" destOrd="0" presId="urn:microsoft.com/office/officeart/2005/8/layout/orgChart1"/>
    <dgm:cxn modelId="{F37B88F8-B2A8-4602-A90D-4FC37BA794B0}" type="presParOf" srcId="{3BA3BB1D-85F2-4BD8-BC3C-3E0F1BDF7102}" destId="{B218D975-933C-4EAE-9FDF-64E2384A2358}" srcOrd="1" destOrd="0" presId="urn:microsoft.com/office/officeart/2005/8/layout/orgChart1"/>
    <dgm:cxn modelId="{16114FDE-A7D3-4EDA-AB2B-4C95840D77E2}" type="presParOf" srcId="{B218D975-933C-4EAE-9FDF-64E2384A2358}" destId="{E2789606-727E-4297-AE45-B2AF20285624}" srcOrd="0" destOrd="0" presId="urn:microsoft.com/office/officeart/2005/8/layout/orgChart1"/>
    <dgm:cxn modelId="{48E149E7-789B-45A5-93CD-56D16BDC395D}" type="presParOf" srcId="{E2789606-727E-4297-AE45-B2AF20285624}" destId="{7A439DA7-6610-44BE-A2DE-32C68DB38DDB}" srcOrd="0" destOrd="0" presId="urn:microsoft.com/office/officeart/2005/8/layout/orgChart1"/>
    <dgm:cxn modelId="{F9F0EB53-2D2D-456A-AB0A-9A02AD608AB2}" type="presParOf" srcId="{E2789606-727E-4297-AE45-B2AF20285624}" destId="{874B007D-6228-483C-9374-D5B3DA51B03D}" srcOrd="1" destOrd="0" presId="urn:microsoft.com/office/officeart/2005/8/layout/orgChart1"/>
    <dgm:cxn modelId="{47C4160B-7DED-404E-BD90-68D618F9BEF6}" type="presParOf" srcId="{B218D975-933C-4EAE-9FDF-64E2384A2358}" destId="{8008BF11-2362-4588-94E9-2BFC67AFFEDE}" srcOrd="1" destOrd="0" presId="urn:microsoft.com/office/officeart/2005/8/layout/orgChart1"/>
    <dgm:cxn modelId="{E5D62B19-AE7B-496F-B9D1-643D82CA144F}" type="presParOf" srcId="{8008BF11-2362-4588-94E9-2BFC67AFFEDE}" destId="{20CF2585-8A42-438F-A80C-8030A2BFAF50}" srcOrd="0" destOrd="0" presId="urn:microsoft.com/office/officeart/2005/8/layout/orgChart1"/>
    <dgm:cxn modelId="{FD7633DC-48EB-4FF4-9AED-034D692A0648}" type="presParOf" srcId="{8008BF11-2362-4588-94E9-2BFC67AFFEDE}" destId="{05BA12F4-F8DB-4408-9BF0-97201172D467}" srcOrd="1" destOrd="0" presId="urn:microsoft.com/office/officeart/2005/8/layout/orgChart1"/>
    <dgm:cxn modelId="{3F039915-E40C-4EC3-BE13-6EBC6546E0B0}" type="presParOf" srcId="{05BA12F4-F8DB-4408-9BF0-97201172D467}" destId="{E59576B7-9F99-4652-AFA5-1EDD53D5CB61}" srcOrd="0" destOrd="0" presId="urn:microsoft.com/office/officeart/2005/8/layout/orgChart1"/>
    <dgm:cxn modelId="{000EF0CD-27AA-44E4-A05C-C22C69925DF5}" type="presParOf" srcId="{E59576B7-9F99-4652-AFA5-1EDD53D5CB61}" destId="{BCDB8714-AA53-47ED-B3E0-88E91FF3EC80}" srcOrd="0" destOrd="0" presId="urn:microsoft.com/office/officeart/2005/8/layout/orgChart1"/>
    <dgm:cxn modelId="{C530EA65-4582-422B-8362-392E3BC47DF2}" type="presParOf" srcId="{E59576B7-9F99-4652-AFA5-1EDD53D5CB61}" destId="{F71ED633-28AB-42B6-8585-D976131D4CD1}" srcOrd="1" destOrd="0" presId="urn:microsoft.com/office/officeart/2005/8/layout/orgChart1"/>
    <dgm:cxn modelId="{5A700FD6-E0FD-489E-A1DA-07AB087E5AD4}" type="presParOf" srcId="{05BA12F4-F8DB-4408-9BF0-97201172D467}" destId="{61906063-A24D-4243-9CA0-E3767C28BA14}" srcOrd="1" destOrd="0" presId="urn:microsoft.com/office/officeart/2005/8/layout/orgChart1"/>
    <dgm:cxn modelId="{ABFF7964-6246-4C3A-B991-047675747041}" type="presParOf" srcId="{05BA12F4-F8DB-4408-9BF0-97201172D467}" destId="{A2F3270E-E13A-43CE-85A7-2920A912AF77}" srcOrd="2" destOrd="0" presId="urn:microsoft.com/office/officeart/2005/8/layout/orgChart1"/>
    <dgm:cxn modelId="{26BDBB4C-BF20-4EBF-ACC6-8D88402C7EB9}" type="presParOf" srcId="{B218D975-933C-4EAE-9FDF-64E2384A2358}" destId="{9D7A9C56-EF4A-48FB-B928-F977E3618A1F}" srcOrd="2" destOrd="0" presId="urn:microsoft.com/office/officeart/2005/8/layout/orgChart1"/>
    <dgm:cxn modelId="{F1638118-A48F-43DD-8F7B-82F6CA785177}" type="presParOf" srcId="{3BA3BB1D-85F2-4BD8-BC3C-3E0F1BDF7102}" destId="{E274FC5D-E802-4EAA-BA61-C8CFB33ED887}" srcOrd="2" destOrd="0" presId="urn:microsoft.com/office/officeart/2005/8/layout/orgChart1"/>
    <dgm:cxn modelId="{F32DDACC-F99A-43EA-9030-393C044B18F8}" type="presParOf" srcId="{3BA3BB1D-85F2-4BD8-BC3C-3E0F1BDF7102}" destId="{32B03F6A-353F-4B23-998D-055868A3D7DB}" srcOrd="3" destOrd="0" presId="urn:microsoft.com/office/officeart/2005/8/layout/orgChart1"/>
    <dgm:cxn modelId="{322A9430-CADF-4F4E-B2DF-D709B349777C}" type="presParOf" srcId="{32B03F6A-353F-4B23-998D-055868A3D7DB}" destId="{EC62682E-D7C4-48B6-9C72-C04EC53C4166}" srcOrd="0" destOrd="0" presId="urn:microsoft.com/office/officeart/2005/8/layout/orgChart1"/>
    <dgm:cxn modelId="{3A8C643A-81C0-488C-A7D8-8A186A029168}" type="presParOf" srcId="{EC62682E-D7C4-48B6-9C72-C04EC53C4166}" destId="{8B6E9BA4-8873-4CC0-A0DA-9D730F6DD832}" srcOrd="0" destOrd="0" presId="urn:microsoft.com/office/officeart/2005/8/layout/orgChart1"/>
    <dgm:cxn modelId="{027AC6C1-4857-4268-9221-9CE5ABEC4EDF}" type="presParOf" srcId="{EC62682E-D7C4-48B6-9C72-C04EC53C4166}" destId="{E45F1DC8-67B8-4EFE-B18D-36DDE8A5B48A}" srcOrd="1" destOrd="0" presId="urn:microsoft.com/office/officeart/2005/8/layout/orgChart1"/>
    <dgm:cxn modelId="{EEFDEE46-F296-46A3-BF0E-A7F7BD835095}" type="presParOf" srcId="{32B03F6A-353F-4B23-998D-055868A3D7DB}" destId="{7E4FC574-AF5D-44D9-9439-B9480F18D430}" srcOrd="1" destOrd="0" presId="urn:microsoft.com/office/officeart/2005/8/layout/orgChart1"/>
    <dgm:cxn modelId="{030736A4-B423-4B38-BB0A-CC1796D8FA81}" type="presParOf" srcId="{7E4FC574-AF5D-44D9-9439-B9480F18D430}" destId="{09AB85C2-3028-4CB5-95F3-B2C62125F7B0}" srcOrd="0" destOrd="0" presId="urn:microsoft.com/office/officeart/2005/8/layout/orgChart1"/>
    <dgm:cxn modelId="{AA25A021-F09D-450B-A5D1-3446BE6D0BFB}" type="presParOf" srcId="{7E4FC574-AF5D-44D9-9439-B9480F18D430}" destId="{D0104D77-2418-4AE3-9144-C73588F6D4DC}" srcOrd="1" destOrd="0" presId="urn:microsoft.com/office/officeart/2005/8/layout/orgChart1"/>
    <dgm:cxn modelId="{6EE620B3-04FD-42C3-90F7-33593CBD55BC}" type="presParOf" srcId="{D0104D77-2418-4AE3-9144-C73588F6D4DC}" destId="{5443FF3B-4AD1-4B29-BF0D-E8A8C65B2BE6}" srcOrd="0" destOrd="0" presId="urn:microsoft.com/office/officeart/2005/8/layout/orgChart1"/>
    <dgm:cxn modelId="{E111C833-FAE1-47B2-A938-6ECA6C74F95C}" type="presParOf" srcId="{5443FF3B-4AD1-4B29-BF0D-E8A8C65B2BE6}" destId="{7B6ABDB9-2347-433C-A170-A78286B509E4}" srcOrd="0" destOrd="0" presId="urn:microsoft.com/office/officeart/2005/8/layout/orgChart1"/>
    <dgm:cxn modelId="{F160E64A-4EE8-4960-8A73-A8A0A9CA840F}" type="presParOf" srcId="{5443FF3B-4AD1-4B29-BF0D-E8A8C65B2BE6}" destId="{214F93B0-8FA3-418C-A2A8-98ADF5009073}" srcOrd="1" destOrd="0" presId="urn:microsoft.com/office/officeart/2005/8/layout/orgChart1"/>
    <dgm:cxn modelId="{6A00D0C9-824B-4F6E-9A83-934ADA705A4B}" type="presParOf" srcId="{D0104D77-2418-4AE3-9144-C73588F6D4DC}" destId="{41DFBB39-C532-488B-A07D-BD6D3882F3A4}" srcOrd="1" destOrd="0" presId="urn:microsoft.com/office/officeart/2005/8/layout/orgChart1"/>
    <dgm:cxn modelId="{9F9B3C69-3CF4-4288-886D-A6622FFC80B6}" type="presParOf" srcId="{41DFBB39-C532-488B-A07D-BD6D3882F3A4}" destId="{DD3F4439-48ED-424A-9B71-7793BC4A75AE}" srcOrd="0" destOrd="0" presId="urn:microsoft.com/office/officeart/2005/8/layout/orgChart1"/>
    <dgm:cxn modelId="{355F2DC3-AF31-454B-AEB9-5AFF36B693BE}" type="presParOf" srcId="{41DFBB39-C532-488B-A07D-BD6D3882F3A4}" destId="{98ACEE49-BB41-4564-A4D9-D7810E5655E0}" srcOrd="1" destOrd="0" presId="urn:microsoft.com/office/officeart/2005/8/layout/orgChart1"/>
    <dgm:cxn modelId="{BB951D10-0DD4-4BA9-B490-399527462886}" type="presParOf" srcId="{98ACEE49-BB41-4564-A4D9-D7810E5655E0}" destId="{C40CF151-DF64-4093-900B-6A594ACE01A3}" srcOrd="0" destOrd="0" presId="urn:microsoft.com/office/officeart/2005/8/layout/orgChart1"/>
    <dgm:cxn modelId="{C4872C8A-2A81-419C-A522-690C29B006F0}" type="presParOf" srcId="{C40CF151-DF64-4093-900B-6A594ACE01A3}" destId="{948A369A-C032-434C-B84D-339DDA24BD76}" srcOrd="0" destOrd="0" presId="urn:microsoft.com/office/officeart/2005/8/layout/orgChart1"/>
    <dgm:cxn modelId="{18F5B0A1-9E2C-4D74-8157-575E5C8325EF}" type="presParOf" srcId="{C40CF151-DF64-4093-900B-6A594ACE01A3}" destId="{12321796-BBA1-4CDC-90D1-365BC012D7A3}" srcOrd="1" destOrd="0" presId="urn:microsoft.com/office/officeart/2005/8/layout/orgChart1"/>
    <dgm:cxn modelId="{604165DB-0309-42B8-9268-3E9BD18C1645}" type="presParOf" srcId="{98ACEE49-BB41-4564-A4D9-D7810E5655E0}" destId="{00FA5EB7-F879-46FF-9FE0-6DF15EED733C}" srcOrd="1" destOrd="0" presId="urn:microsoft.com/office/officeart/2005/8/layout/orgChart1"/>
    <dgm:cxn modelId="{CC21711A-DB43-44A7-BC58-FC7CC3D27930}" type="presParOf" srcId="{00FA5EB7-F879-46FF-9FE0-6DF15EED733C}" destId="{66145D9F-FC3E-4BDB-B23F-A6436EE7DE49}" srcOrd="0" destOrd="0" presId="urn:microsoft.com/office/officeart/2005/8/layout/orgChart1"/>
    <dgm:cxn modelId="{7958B87C-5CAB-4E68-948B-F5E974682B35}" type="presParOf" srcId="{00FA5EB7-F879-46FF-9FE0-6DF15EED733C}" destId="{1586B48F-AB5C-444C-918E-A965341E8D2D}" srcOrd="1" destOrd="0" presId="urn:microsoft.com/office/officeart/2005/8/layout/orgChart1"/>
    <dgm:cxn modelId="{8ECA7171-981E-4DF9-A4C0-640AC2A80BF1}" type="presParOf" srcId="{1586B48F-AB5C-444C-918E-A965341E8D2D}" destId="{9C5183B6-E0A3-454F-B218-CA937539D826}" srcOrd="0" destOrd="0" presId="urn:microsoft.com/office/officeart/2005/8/layout/orgChart1"/>
    <dgm:cxn modelId="{86536976-9362-4728-A1DB-76346C084B06}" type="presParOf" srcId="{9C5183B6-E0A3-454F-B218-CA937539D826}" destId="{305D9CFA-E872-477F-9C4D-059D8CDA0FB2}" srcOrd="0" destOrd="0" presId="urn:microsoft.com/office/officeart/2005/8/layout/orgChart1"/>
    <dgm:cxn modelId="{E6625AFC-A408-4C0A-A2C8-3994C52035BB}" type="presParOf" srcId="{9C5183B6-E0A3-454F-B218-CA937539D826}" destId="{BF4B4468-F6A2-4508-9AF6-44F2C319885E}" srcOrd="1" destOrd="0" presId="urn:microsoft.com/office/officeart/2005/8/layout/orgChart1"/>
    <dgm:cxn modelId="{867C32FE-2965-4A33-B9D3-76B491843159}" type="presParOf" srcId="{1586B48F-AB5C-444C-918E-A965341E8D2D}" destId="{FD7567A4-6B59-4E89-8668-5D31C09AF6C8}" srcOrd="1" destOrd="0" presId="urn:microsoft.com/office/officeart/2005/8/layout/orgChart1"/>
    <dgm:cxn modelId="{B9B563F0-354D-4A5F-8736-6A49C6C8EFD5}" type="presParOf" srcId="{1586B48F-AB5C-444C-918E-A965341E8D2D}" destId="{F5110AA7-AF3C-4EEE-A764-9ADC0A71F9D9}" srcOrd="2" destOrd="0" presId="urn:microsoft.com/office/officeart/2005/8/layout/orgChart1"/>
    <dgm:cxn modelId="{576E4BD6-932F-44FF-98DA-E9354B7E28BA}" type="presParOf" srcId="{98ACEE49-BB41-4564-A4D9-D7810E5655E0}" destId="{3AC50E8A-E400-4DEE-9E26-5F98C2C1D68D}" srcOrd="2" destOrd="0" presId="urn:microsoft.com/office/officeart/2005/8/layout/orgChart1"/>
    <dgm:cxn modelId="{59204453-E466-496A-9C13-E3E2A6D05259}" type="presParOf" srcId="{41DFBB39-C532-488B-A07D-BD6D3882F3A4}" destId="{2C350071-BBB0-47F2-8501-3B14AF11E6F0}" srcOrd="2" destOrd="0" presId="urn:microsoft.com/office/officeart/2005/8/layout/orgChart1"/>
    <dgm:cxn modelId="{020BFE29-AFBB-4635-9EEB-423BD1DFF8B0}" type="presParOf" srcId="{41DFBB39-C532-488B-A07D-BD6D3882F3A4}" destId="{6E99DAB0-90C8-4C40-8319-29EA520A68A7}" srcOrd="3" destOrd="0" presId="urn:microsoft.com/office/officeart/2005/8/layout/orgChart1"/>
    <dgm:cxn modelId="{A8AA881D-F31B-429F-B61E-8AB6B0697316}" type="presParOf" srcId="{6E99DAB0-90C8-4C40-8319-29EA520A68A7}" destId="{17CA8ADD-167D-4332-9DDC-15A7154E96CD}" srcOrd="0" destOrd="0" presId="urn:microsoft.com/office/officeart/2005/8/layout/orgChart1"/>
    <dgm:cxn modelId="{679BD446-26DB-495E-B7F8-3AFB0ED76690}" type="presParOf" srcId="{17CA8ADD-167D-4332-9DDC-15A7154E96CD}" destId="{87E41D2C-EC6B-48AB-A97C-F89D989C9B1A}" srcOrd="0" destOrd="0" presId="urn:microsoft.com/office/officeart/2005/8/layout/orgChart1"/>
    <dgm:cxn modelId="{3F19DCB5-9DF0-46DD-AC6E-3C023663BA95}" type="presParOf" srcId="{17CA8ADD-167D-4332-9DDC-15A7154E96CD}" destId="{A2AFC9F6-CF4E-49CE-A84E-7BDD501AC9BE}" srcOrd="1" destOrd="0" presId="urn:microsoft.com/office/officeart/2005/8/layout/orgChart1"/>
    <dgm:cxn modelId="{D7ACA4F1-5F95-4537-9B45-43AD96AE2CAD}" type="presParOf" srcId="{6E99DAB0-90C8-4C40-8319-29EA520A68A7}" destId="{1BF0DDB2-90EA-4A54-862D-AC0CA6D3485E}" srcOrd="1" destOrd="0" presId="urn:microsoft.com/office/officeart/2005/8/layout/orgChart1"/>
    <dgm:cxn modelId="{36293F70-4DB7-487B-902E-294A824FE9F9}" type="presParOf" srcId="{1BF0DDB2-90EA-4A54-862D-AC0CA6D3485E}" destId="{FF4850A1-BF17-4A5A-8881-8E41B8BE9F0E}" srcOrd="0" destOrd="0" presId="urn:microsoft.com/office/officeart/2005/8/layout/orgChart1"/>
    <dgm:cxn modelId="{2C95CACC-8415-4368-A438-834EF2D8D60A}" type="presParOf" srcId="{1BF0DDB2-90EA-4A54-862D-AC0CA6D3485E}" destId="{3429532B-3092-4016-A8E4-9AE5FDDF8154}" srcOrd="1" destOrd="0" presId="urn:microsoft.com/office/officeart/2005/8/layout/orgChart1"/>
    <dgm:cxn modelId="{D8BF6009-3606-491A-8303-99562EE3CDAC}" type="presParOf" srcId="{3429532B-3092-4016-A8E4-9AE5FDDF8154}" destId="{BD9966E0-E901-486C-8023-06872744489C}" srcOrd="0" destOrd="0" presId="urn:microsoft.com/office/officeart/2005/8/layout/orgChart1"/>
    <dgm:cxn modelId="{AF1D1184-2D73-4294-AE7D-A93209FDDC46}" type="presParOf" srcId="{BD9966E0-E901-486C-8023-06872744489C}" destId="{67A05B9B-3382-410A-82B1-F66C88AF763B}" srcOrd="0" destOrd="0" presId="urn:microsoft.com/office/officeart/2005/8/layout/orgChart1"/>
    <dgm:cxn modelId="{80848A1D-7B24-450D-BCA1-A7644996D677}" type="presParOf" srcId="{BD9966E0-E901-486C-8023-06872744489C}" destId="{1CD24E4E-3F57-4758-BCD3-C52F01983C07}" srcOrd="1" destOrd="0" presId="urn:microsoft.com/office/officeart/2005/8/layout/orgChart1"/>
    <dgm:cxn modelId="{3D405CF7-6727-403F-9919-62AEEF0E2547}" type="presParOf" srcId="{3429532B-3092-4016-A8E4-9AE5FDDF8154}" destId="{A4D52D3C-F6A9-44F2-9182-BA42222A28E3}" srcOrd="1" destOrd="0" presId="urn:microsoft.com/office/officeart/2005/8/layout/orgChart1"/>
    <dgm:cxn modelId="{D20180C2-AFEA-4951-8707-24667B3ED2F5}" type="presParOf" srcId="{3429532B-3092-4016-A8E4-9AE5FDDF8154}" destId="{611BE890-5F7D-4E81-B8DC-99A79A991AD2}" srcOrd="2" destOrd="0" presId="urn:microsoft.com/office/officeart/2005/8/layout/orgChart1"/>
    <dgm:cxn modelId="{A20DB6F3-4A08-4823-9747-E51AB7D1DA2F}" type="presParOf" srcId="{6E99DAB0-90C8-4C40-8319-29EA520A68A7}" destId="{5513B8DD-3DE0-4EE6-8A84-7085C78D5A5F}" srcOrd="2" destOrd="0" presId="urn:microsoft.com/office/officeart/2005/8/layout/orgChart1"/>
    <dgm:cxn modelId="{E259E445-9307-4EB0-9C38-BB9DAAD67901}" type="presParOf" srcId="{D0104D77-2418-4AE3-9144-C73588F6D4DC}" destId="{2BD0F94E-07D6-44BE-8EE4-D86DFCC382F5}" srcOrd="2" destOrd="0" presId="urn:microsoft.com/office/officeart/2005/8/layout/orgChart1"/>
    <dgm:cxn modelId="{8A1B324B-5CDB-441D-9628-DC0C3783CCF4}" type="presParOf" srcId="{7E4FC574-AF5D-44D9-9439-B9480F18D430}" destId="{638099E3-55C4-4DE7-9C24-3E7745B7E11A}" srcOrd="2" destOrd="0" presId="urn:microsoft.com/office/officeart/2005/8/layout/orgChart1"/>
    <dgm:cxn modelId="{080FD457-22CB-4411-82C9-A3BF74AD1683}" type="presParOf" srcId="{7E4FC574-AF5D-44D9-9439-B9480F18D430}" destId="{CDEE9E46-B05A-40B6-96E8-E8D04AD17889}" srcOrd="3" destOrd="0" presId="urn:microsoft.com/office/officeart/2005/8/layout/orgChart1"/>
    <dgm:cxn modelId="{6E70124E-00D6-46C8-9B1E-D2D3FF85E827}" type="presParOf" srcId="{CDEE9E46-B05A-40B6-96E8-E8D04AD17889}" destId="{D4FD17B4-2E00-4F17-BEA5-C49A3FDA5FF1}" srcOrd="0" destOrd="0" presId="urn:microsoft.com/office/officeart/2005/8/layout/orgChart1"/>
    <dgm:cxn modelId="{DDA5802A-B544-48BF-868E-F6C4C9DA9DF5}" type="presParOf" srcId="{D4FD17B4-2E00-4F17-BEA5-C49A3FDA5FF1}" destId="{91BBC387-17C7-4B75-A434-DAFE09081A8F}" srcOrd="0" destOrd="0" presId="urn:microsoft.com/office/officeart/2005/8/layout/orgChart1"/>
    <dgm:cxn modelId="{C24BB1E9-DEC2-402C-9011-0867FC3F9998}" type="presParOf" srcId="{D4FD17B4-2E00-4F17-BEA5-C49A3FDA5FF1}" destId="{16E97DDF-A373-4796-8E3D-25F4202BDF22}" srcOrd="1" destOrd="0" presId="urn:microsoft.com/office/officeart/2005/8/layout/orgChart1"/>
    <dgm:cxn modelId="{4B0F2907-E0D0-4820-9486-10C293C4320F}" type="presParOf" srcId="{CDEE9E46-B05A-40B6-96E8-E8D04AD17889}" destId="{9AC24697-C149-4B61-9A9B-971CE4784DD6}" srcOrd="1" destOrd="0" presId="urn:microsoft.com/office/officeart/2005/8/layout/orgChart1"/>
    <dgm:cxn modelId="{93005CB5-7B58-4D84-BFAD-F8BECEC9B08B}" type="presParOf" srcId="{9AC24697-C149-4B61-9A9B-971CE4784DD6}" destId="{179087EC-F7A1-466E-8C41-E2DA395C4F9E}" srcOrd="0" destOrd="0" presId="urn:microsoft.com/office/officeart/2005/8/layout/orgChart1"/>
    <dgm:cxn modelId="{E6E63D0E-63CB-4154-B143-CBA0AA47BC91}" type="presParOf" srcId="{9AC24697-C149-4B61-9A9B-971CE4784DD6}" destId="{1A3B19F2-E32E-4E05-B19F-98BBBFA2B0C3}" srcOrd="1" destOrd="0" presId="urn:microsoft.com/office/officeart/2005/8/layout/orgChart1"/>
    <dgm:cxn modelId="{1CB0624C-7FBF-47B0-9DE6-44C51E8ACC01}" type="presParOf" srcId="{1A3B19F2-E32E-4E05-B19F-98BBBFA2B0C3}" destId="{89DF2AC6-A084-47EB-88DE-70E437B2A518}" srcOrd="0" destOrd="0" presId="urn:microsoft.com/office/officeart/2005/8/layout/orgChart1"/>
    <dgm:cxn modelId="{1E96255C-A39F-4AB0-93F6-748B365D7D20}" type="presParOf" srcId="{89DF2AC6-A084-47EB-88DE-70E437B2A518}" destId="{C2B2486F-E45D-4F14-9F5A-64179C38D39A}" srcOrd="0" destOrd="0" presId="urn:microsoft.com/office/officeart/2005/8/layout/orgChart1"/>
    <dgm:cxn modelId="{942789AF-0737-4E71-B91C-2A66DDA2990C}" type="presParOf" srcId="{89DF2AC6-A084-47EB-88DE-70E437B2A518}" destId="{04B050E8-819B-4316-BF17-1CDB977C77DA}" srcOrd="1" destOrd="0" presId="urn:microsoft.com/office/officeart/2005/8/layout/orgChart1"/>
    <dgm:cxn modelId="{30E4763A-98FC-42AC-A2D1-0221C4840E0F}" type="presParOf" srcId="{1A3B19F2-E32E-4E05-B19F-98BBBFA2B0C3}" destId="{85FC26D2-3C67-4FD6-8574-B031BA867251}" srcOrd="1" destOrd="0" presId="urn:microsoft.com/office/officeart/2005/8/layout/orgChart1"/>
    <dgm:cxn modelId="{401F7BC9-D73A-49C9-836A-48644EC866C0}" type="presParOf" srcId="{85FC26D2-3C67-4FD6-8574-B031BA867251}" destId="{4D1B445E-EC8A-4587-9390-5CA3A933BDFB}" srcOrd="0" destOrd="0" presId="urn:microsoft.com/office/officeart/2005/8/layout/orgChart1"/>
    <dgm:cxn modelId="{BC781238-DF96-4476-BBE0-39F6308647D8}" type="presParOf" srcId="{85FC26D2-3C67-4FD6-8574-B031BA867251}" destId="{228F364A-0050-4B98-A578-4E78754FE781}" srcOrd="1" destOrd="0" presId="urn:microsoft.com/office/officeart/2005/8/layout/orgChart1"/>
    <dgm:cxn modelId="{51894E44-B833-4424-AF98-0641555621A6}" type="presParOf" srcId="{228F364A-0050-4B98-A578-4E78754FE781}" destId="{42695CBB-BEBB-45CF-A803-3B9DC91782E7}" srcOrd="0" destOrd="0" presId="urn:microsoft.com/office/officeart/2005/8/layout/orgChart1"/>
    <dgm:cxn modelId="{D680F021-B8C7-412B-B465-9910B48ACDBD}" type="presParOf" srcId="{42695CBB-BEBB-45CF-A803-3B9DC91782E7}" destId="{D7B613EB-86D1-4FC1-8387-F645849024EB}" srcOrd="0" destOrd="0" presId="urn:microsoft.com/office/officeart/2005/8/layout/orgChart1"/>
    <dgm:cxn modelId="{489EF967-4676-453A-AEF9-874FCE9F0D38}" type="presParOf" srcId="{42695CBB-BEBB-45CF-A803-3B9DC91782E7}" destId="{F71A2866-689B-481D-BE95-0FBC3BEB18E6}" srcOrd="1" destOrd="0" presId="urn:microsoft.com/office/officeart/2005/8/layout/orgChart1"/>
    <dgm:cxn modelId="{668BF151-EF37-4012-A382-41779E7CE659}" type="presParOf" srcId="{228F364A-0050-4B98-A578-4E78754FE781}" destId="{7E27D657-1210-421C-81E9-EDF55B8FD48F}" srcOrd="1" destOrd="0" presId="urn:microsoft.com/office/officeart/2005/8/layout/orgChart1"/>
    <dgm:cxn modelId="{7F2CE5EE-9D9C-4119-85B1-B6519D95C7AC}" type="presParOf" srcId="{228F364A-0050-4B98-A578-4E78754FE781}" destId="{075B6D3F-69F2-4368-A845-E11348357D1D}" srcOrd="2" destOrd="0" presId="urn:microsoft.com/office/officeart/2005/8/layout/orgChart1"/>
    <dgm:cxn modelId="{5A0C355D-D1C9-4C31-B92F-E1F463088FFC}" type="presParOf" srcId="{1A3B19F2-E32E-4E05-B19F-98BBBFA2B0C3}" destId="{F4263FBF-E85D-40C1-812F-6C78FB7F55F6}" srcOrd="2" destOrd="0" presId="urn:microsoft.com/office/officeart/2005/8/layout/orgChart1"/>
    <dgm:cxn modelId="{AA8B8B5E-B1CC-4CF2-B745-B08A166DDB19}" type="presParOf" srcId="{9AC24697-C149-4B61-9A9B-971CE4784DD6}" destId="{38A671C3-BC75-4B2C-819C-78F199ABE296}" srcOrd="2" destOrd="0" presId="urn:microsoft.com/office/officeart/2005/8/layout/orgChart1"/>
    <dgm:cxn modelId="{E110D865-C5A1-4F04-A3EA-9848921F481D}" type="presParOf" srcId="{9AC24697-C149-4B61-9A9B-971CE4784DD6}" destId="{3BADA2DB-797D-472C-A17D-BFBE4380E65B}" srcOrd="3" destOrd="0" presId="urn:microsoft.com/office/officeart/2005/8/layout/orgChart1"/>
    <dgm:cxn modelId="{0B470909-E658-4F35-BA81-EC4B9D1900D5}" type="presParOf" srcId="{3BADA2DB-797D-472C-A17D-BFBE4380E65B}" destId="{1B80AE4A-5FDE-4503-8BCF-0884F3352137}" srcOrd="0" destOrd="0" presId="urn:microsoft.com/office/officeart/2005/8/layout/orgChart1"/>
    <dgm:cxn modelId="{994EE38A-9522-4441-9F59-4157867F7199}" type="presParOf" srcId="{1B80AE4A-5FDE-4503-8BCF-0884F3352137}" destId="{2A5EF169-42A5-4916-9F56-35496AA3636C}" srcOrd="0" destOrd="0" presId="urn:microsoft.com/office/officeart/2005/8/layout/orgChart1"/>
    <dgm:cxn modelId="{855163FD-AA60-4D72-8D4B-8CC2E74FEE4E}" type="presParOf" srcId="{1B80AE4A-5FDE-4503-8BCF-0884F3352137}" destId="{BA4A7B95-F723-4718-AC11-B2FB9CC8CFFA}" srcOrd="1" destOrd="0" presId="urn:microsoft.com/office/officeart/2005/8/layout/orgChart1"/>
    <dgm:cxn modelId="{F270FF06-6055-406B-B023-2117B412A152}" type="presParOf" srcId="{3BADA2DB-797D-472C-A17D-BFBE4380E65B}" destId="{483495F1-004C-403B-932B-FF4C44AAA06F}" srcOrd="1" destOrd="0" presId="urn:microsoft.com/office/officeart/2005/8/layout/orgChart1"/>
    <dgm:cxn modelId="{5D82C5F4-FE3C-4F1F-A207-2E2A3BADF9AD}" type="presParOf" srcId="{483495F1-004C-403B-932B-FF4C44AAA06F}" destId="{2A6C5EAD-BE5C-4FBB-8C60-B565271DFB1F}" srcOrd="0" destOrd="0" presId="urn:microsoft.com/office/officeart/2005/8/layout/orgChart1"/>
    <dgm:cxn modelId="{1EE40D97-D064-4EF3-9B71-B896FD3410F7}" type="presParOf" srcId="{483495F1-004C-403B-932B-FF4C44AAA06F}" destId="{6BC95045-C762-4E82-875E-454A689DF41D}" srcOrd="1" destOrd="0" presId="urn:microsoft.com/office/officeart/2005/8/layout/orgChart1"/>
    <dgm:cxn modelId="{847D0E55-B291-496D-B32D-D4605CAC0F7C}" type="presParOf" srcId="{6BC95045-C762-4E82-875E-454A689DF41D}" destId="{7FB1B594-789B-4B56-BF5A-4F090F3F0BF0}" srcOrd="0" destOrd="0" presId="urn:microsoft.com/office/officeart/2005/8/layout/orgChart1"/>
    <dgm:cxn modelId="{420CFB53-6CDB-41E8-89E9-71C34385A73C}" type="presParOf" srcId="{7FB1B594-789B-4B56-BF5A-4F090F3F0BF0}" destId="{F70C8DBB-3AAC-4DCD-8A92-7F55BFB91AA2}" srcOrd="0" destOrd="0" presId="urn:microsoft.com/office/officeart/2005/8/layout/orgChart1"/>
    <dgm:cxn modelId="{9064E056-F5F6-4E50-B4A1-59E08BC567C4}" type="presParOf" srcId="{7FB1B594-789B-4B56-BF5A-4F090F3F0BF0}" destId="{114D6D86-7C09-4AF5-8F4E-F2FC90005F9C}" srcOrd="1" destOrd="0" presId="urn:microsoft.com/office/officeart/2005/8/layout/orgChart1"/>
    <dgm:cxn modelId="{343E4649-E62F-47FD-A025-6A679E61A24E}" type="presParOf" srcId="{6BC95045-C762-4E82-875E-454A689DF41D}" destId="{ACF10476-AEF2-44AD-B468-AA54D1808D2D}" srcOrd="1" destOrd="0" presId="urn:microsoft.com/office/officeart/2005/8/layout/orgChart1"/>
    <dgm:cxn modelId="{4181B7FF-E4B6-4E2A-9E39-FD5651F1CF45}" type="presParOf" srcId="{ACF10476-AEF2-44AD-B468-AA54D1808D2D}" destId="{BE05C936-50DC-422F-95B0-AF53F2080D66}" srcOrd="0" destOrd="0" presId="urn:microsoft.com/office/officeart/2005/8/layout/orgChart1"/>
    <dgm:cxn modelId="{5B83442B-F25C-495F-B8A2-9553A0C19063}" type="presParOf" srcId="{ACF10476-AEF2-44AD-B468-AA54D1808D2D}" destId="{84FE2DCF-6F38-4C22-B35D-9D3A46C48D06}" srcOrd="1" destOrd="0" presId="urn:microsoft.com/office/officeart/2005/8/layout/orgChart1"/>
    <dgm:cxn modelId="{DAF99D05-18CD-4990-BA9A-2FC9529D4D41}" type="presParOf" srcId="{84FE2DCF-6F38-4C22-B35D-9D3A46C48D06}" destId="{0CFC24AA-BA25-4DD6-821F-3D1E77D5DE43}" srcOrd="0" destOrd="0" presId="urn:microsoft.com/office/officeart/2005/8/layout/orgChart1"/>
    <dgm:cxn modelId="{8BE6F834-A24C-45E5-A161-0794C5CCFA82}" type="presParOf" srcId="{0CFC24AA-BA25-4DD6-821F-3D1E77D5DE43}" destId="{096C4E01-5681-4BF7-B5D6-59617A9C03C9}" srcOrd="0" destOrd="0" presId="urn:microsoft.com/office/officeart/2005/8/layout/orgChart1"/>
    <dgm:cxn modelId="{8537BA24-29FC-464A-A751-566EE40E27E3}" type="presParOf" srcId="{0CFC24AA-BA25-4DD6-821F-3D1E77D5DE43}" destId="{D477858C-2055-4207-AFBC-748AABD63D17}" srcOrd="1" destOrd="0" presId="urn:microsoft.com/office/officeart/2005/8/layout/orgChart1"/>
    <dgm:cxn modelId="{0D30788E-CBD4-42D0-8B11-2B9924709D31}" type="presParOf" srcId="{84FE2DCF-6F38-4C22-B35D-9D3A46C48D06}" destId="{9341061F-B09D-4946-A5A2-696D4A84E864}" srcOrd="1" destOrd="0" presId="urn:microsoft.com/office/officeart/2005/8/layout/orgChart1"/>
    <dgm:cxn modelId="{A3394366-CC8E-4B1A-A476-00270B93A1CC}" type="presParOf" srcId="{84FE2DCF-6F38-4C22-B35D-9D3A46C48D06}" destId="{DD6796B5-6C0D-4FD0-BDE5-BACD5F60CFBD}" srcOrd="2" destOrd="0" presId="urn:microsoft.com/office/officeart/2005/8/layout/orgChart1"/>
    <dgm:cxn modelId="{E941F67C-F17E-48F9-A62B-0C37D9CC4745}" type="presParOf" srcId="{6BC95045-C762-4E82-875E-454A689DF41D}" destId="{847B82EF-620F-4656-A06F-2C8178BE679C}" srcOrd="2" destOrd="0" presId="urn:microsoft.com/office/officeart/2005/8/layout/orgChart1"/>
    <dgm:cxn modelId="{D8E32BA5-B7E2-44BC-BA39-8785805702F1}" type="presParOf" srcId="{483495F1-004C-403B-932B-FF4C44AAA06F}" destId="{A94AC8EE-63FB-45FE-9036-7A750831B026}" srcOrd="2" destOrd="0" presId="urn:microsoft.com/office/officeart/2005/8/layout/orgChart1"/>
    <dgm:cxn modelId="{7F626CFF-BD88-445F-9527-BDCEF997E83F}" type="presParOf" srcId="{483495F1-004C-403B-932B-FF4C44AAA06F}" destId="{C71E40B8-4AB3-4754-BD44-E06BA298BDF6}" srcOrd="3" destOrd="0" presId="urn:microsoft.com/office/officeart/2005/8/layout/orgChart1"/>
    <dgm:cxn modelId="{043ADBDF-D264-41B0-A8A6-F3F315D9BC09}" type="presParOf" srcId="{C71E40B8-4AB3-4754-BD44-E06BA298BDF6}" destId="{D8AF4608-AF0C-4135-84DC-726444065A71}" srcOrd="0" destOrd="0" presId="urn:microsoft.com/office/officeart/2005/8/layout/orgChart1"/>
    <dgm:cxn modelId="{FE25EEBC-5C92-4B02-8DD3-30B55B86B91E}" type="presParOf" srcId="{D8AF4608-AF0C-4135-84DC-726444065A71}" destId="{50BC7B5A-89DC-4544-84A3-980626D604DF}" srcOrd="0" destOrd="0" presId="urn:microsoft.com/office/officeart/2005/8/layout/orgChart1"/>
    <dgm:cxn modelId="{9A57F395-99CE-4299-9291-F5DC1A27E0FE}" type="presParOf" srcId="{D8AF4608-AF0C-4135-84DC-726444065A71}" destId="{21D7E09D-17E7-4142-9B71-E58EBCDFC8BE}" srcOrd="1" destOrd="0" presId="urn:microsoft.com/office/officeart/2005/8/layout/orgChart1"/>
    <dgm:cxn modelId="{9F28A1D0-9088-4735-BEFC-88EE788C79DC}" type="presParOf" srcId="{C71E40B8-4AB3-4754-BD44-E06BA298BDF6}" destId="{9E6530D2-E99A-4405-A5C6-15A500C26522}" srcOrd="1" destOrd="0" presId="urn:microsoft.com/office/officeart/2005/8/layout/orgChart1"/>
    <dgm:cxn modelId="{22A01429-2B2E-4A8B-ADB4-C8B2D6B752BC}" type="presParOf" srcId="{9E6530D2-E99A-4405-A5C6-15A500C26522}" destId="{5238CE4D-5E48-44FE-BB14-BDF990DCF071}" srcOrd="0" destOrd="0" presId="urn:microsoft.com/office/officeart/2005/8/layout/orgChart1"/>
    <dgm:cxn modelId="{2D807EBA-97E5-4219-97CA-23BE28024D57}" type="presParOf" srcId="{9E6530D2-E99A-4405-A5C6-15A500C26522}" destId="{8F939904-EFD6-4186-9A8E-CA80FEBB2EEA}" srcOrd="1" destOrd="0" presId="urn:microsoft.com/office/officeart/2005/8/layout/orgChart1"/>
    <dgm:cxn modelId="{3FA33717-3410-48AA-B7ED-90B741E68608}" type="presParOf" srcId="{8F939904-EFD6-4186-9A8E-CA80FEBB2EEA}" destId="{A8CA8CF7-0E8F-475D-B3D8-C5507BA6FA58}" srcOrd="0" destOrd="0" presId="urn:microsoft.com/office/officeart/2005/8/layout/orgChart1"/>
    <dgm:cxn modelId="{644F1DF4-4C4E-4A4D-8C9D-7498FFC09275}" type="presParOf" srcId="{A8CA8CF7-0E8F-475D-B3D8-C5507BA6FA58}" destId="{50A8EA85-D773-44BF-9BA7-55ABC9BEF65D}" srcOrd="0" destOrd="0" presId="urn:microsoft.com/office/officeart/2005/8/layout/orgChart1"/>
    <dgm:cxn modelId="{8D6865E5-FF92-4C2D-962F-1E62B17C2414}" type="presParOf" srcId="{A8CA8CF7-0E8F-475D-B3D8-C5507BA6FA58}" destId="{D97F6558-85AE-4B12-94C9-68E3CB26632B}" srcOrd="1" destOrd="0" presId="urn:microsoft.com/office/officeart/2005/8/layout/orgChart1"/>
    <dgm:cxn modelId="{38AD3182-1A5E-451F-B224-C35175CF63B2}" type="presParOf" srcId="{8F939904-EFD6-4186-9A8E-CA80FEBB2EEA}" destId="{4733871F-4842-405C-A64B-8BDAF7A04E42}" srcOrd="1" destOrd="0" presId="urn:microsoft.com/office/officeart/2005/8/layout/orgChart1"/>
    <dgm:cxn modelId="{52FD9BAB-6108-4962-90EF-0B3BD19B800D}" type="presParOf" srcId="{8F939904-EFD6-4186-9A8E-CA80FEBB2EEA}" destId="{94A87794-B7A7-4ACF-8EA7-6187D155815E}" srcOrd="2" destOrd="0" presId="urn:microsoft.com/office/officeart/2005/8/layout/orgChart1"/>
    <dgm:cxn modelId="{CC8CC738-F5B2-408F-8703-7B280B52D1DE}" type="presParOf" srcId="{9E6530D2-E99A-4405-A5C6-15A500C26522}" destId="{EB50D01E-657C-434F-A9B3-2BA3F7AE20B7}" srcOrd="2" destOrd="0" presId="urn:microsoft.com/office/officeart/2005/8/layout/orgChart1"/>
    <dgm:cxn modelId="{2C268177-33CD-4DBC-ACD3-7207945B2F57}" type="presParOf" srcId="{9E6530D2-E99A-4405-A5C6-15A500C26522}" destId="{F819E476-F31F-4C01-BB21-365D9243B9B7}" srcOrd="3" destOrd="0" presId="urn:microsoft.com/office/officeart/2005/8/layout/orgChart1"/>
    <dgm:cxn modelId="{9E06902F-4829-4D83-987C-3600C513D344}" type="presParOf" srcId="{F819E476-F31F-4C01-BB21-365D9243B9B7}" destId="{5566A0C3-3EE6-419E-A2B4-D409221547AD}" srcOrd="0" destOrd="0" presId="urn:microsoft.com/office/officeart/2005/8/layout/orgChart1"/>
    <dgm:cxn modelId="{8A6A500E-78BD-4835-849A-526071FE8468}" type="presParOf" srcId="{5566A0C3-3EE6-419E-A2B4-D409221547AD}" destId="{F6A37FBE-1708-4748-80F3-336F567207EE}" srcOrd="0" destOrd="0" presId="urn:microsoft.com/office/officeart/2005/8/layout/orgChart1"/>
    <dgm:cxn modelId="{924F2FCF-47EE-4FAA-A595-B499CCA62E18}" type="presParOf" srcId="{5566A0C3-3EE6-419E-A2B4-D409221547AD}" destId="{4D7A6AD9-8E9A-42DC-AF95-8A7906DE1FFC}" srcOrd="1" destOrd="0" presId="urn:microsoft.com/office/officeart/2005/8/layout/orgChart1"/>
    <dgm:cxn modelId="{37E23101-9D3F-4FEC-A93F-DA7797261841}" type="presParOf" srcId="{F819E476-F31F-4C01-BB21-365D9243B9B7}" destId="{436709DE-B5E0-4070-80EF-D3A75196E00B}" srcOrd="1" destOrd="0" presId="urn:microsoft.com/office/officeart/2005/8/layout/orgChart1"/>
    <dgm:cxn modelId="{82B7E88D-F5D8-47E4-97AD-9BF97B412546}" type="presParOf" srcId="{F819E476-F31F-4C01-BB21-365D9243B9B7}" destId="{90F4DD6B-7D52-4D45-80E6-9D7AB35C283A}" srcOrd="2" destOrd="0" presId="urn:microsoft.com/office/officeart/2005/8/layout/orgChart1"/>
    <dgm:cxn modelId="{3E9E47BB-7222-46A0-80A1-A01C481E5582}" type="presParOf" srcId="{C71E40B8-4AB3-4754-BD44-E06BA298BDF6}" destId="{8E915E9A-4291-42E3-BFDD-01CC9D9CC873}" srcOrd="2" destOrd="0" presId="urn:microsoft.com/office/officeart/2005/8/layout/orgChart1"/>
    <dgm:cxn modelId="{F516BF5E-D99F-487A-8BA7-A92BC8BDF817}" type="presParOf" srcId="{3BADA2DB-797D-472C-A17D-BFBE4380E65B}" destId="{9A3B6947-A6DC-453D-8CD3-84E7A8D4F7D7}" srcOrd="2" destOrd="0" presId="urn:microsoft.com/office/officeart/2005/8/layout/orgChart1"/>
    <dgm:cxn modelId="{28268645-80E0-470F-B2F7-628379AE65C4}" type="presParOf" srcId="{CDEE9E46-B05A-40B6-96E8-E8D04AD17889}" destId="{89AE2F30-64D7-42C5-BA0B-D3D3BB7B1ABF}" srcOrd="2" destOrd="0" presId="urn:microsoft.com/office/officeart/2005/8/layout/orgChart1"/>
    <dgm:cxn modelId="{0FE18F05-F0C6-4DD6-948A-80E2A64C1533}" type="presParOf" srcId="{32B03F6A-353F-4B23-998D-055868A3D7DB}" destId="{9BD19F05-A1BA-4852-A99C-CF63231692BA}" srcOrd="2" destOrd="0" presId="urn:microsoft.com/office/officeart/2005/8/layout/orgChart1"/>
    <dgm:cxn modelId="{42360062-CC25-4E23-9366-A245F29F31FF}" type="presParOf" srcId="{2468BF1C-A4A6-4DE0-B45A-6883C81317C0}" destId="{AFFE185A-001F-4908-90F0-35DF8F7F3663}"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B50D01E-657C-434F-A9B3-2BA3F7AE20B7}">
      <dsp:nvSpPr>
        <dsp:cNvPr id="0" name=""/>
        <dsp:cNvSpPr/>
      </dsp:nvSpPr>
      <dsp:spPr>
        <a:xfrm>
          <a:off x="6785247" y="3933169"/>
          <a:ext cx="175560" cy="1369369"/>
        </a:xfrm>
        <a:custGeom>
          <a:avLst/>
          <a:gdLst/>
          <a:ahLst/>
          <a:cxnLst/>
          <a:rect l="0" t="0" r="0" b="0"/>
          <a:pathLst>
            <a:path>
              <a:moveTo>
                <a:pt x="0" y="0"/>
              </a:moveTo>
              <a:lnTo>
                <a:pt x="0" y="1369369"/>
              </a:lnTo>
              <a:lnTo>
                <a:pt x="175560" y="1369369"/>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238CE4D-5E48-44FE-BB14-BDF990DCF071}">
      <dsp:nvSpPr>
        <dsp:cNvPr id="0" name=""/>
        <dsp:cNvSpPr/>
      </dsp:nvSpPr>
      <dsp:spPr>
        <a:xfrm>
          <a:off x="6785247" y="3933169"/>
          <a:ext cx="175560" cy="538384"/>
        </a:xfrm>
        <a:custGeom>
          <a:avLst/>
          <a:gdLst/>
          <a:ahLst/>
          <a:cxnLst/>
          <a:rect l="0" t="0" r="0" b="0"/>
          <a:pathLst>
            <a:path>
              <a:moveTo>
                <a:pt x="0" y="0"/>
              </a:moveTo>
              <a:lnTo>
                <a:pt x="0" y="538384"/>
              </a:lnTo>
              <a:lnTo>
                <a:pt x="17556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94AC8EE-63FB-45FE-9036-7A750831B026}">
      <dsp:nvSpPr>
        <dsp:cNvPr id="0" name=""/>
        <dsp:cNvSpPr/>
      </dsp:nvSpPr>
      <dsp:spPr>
        <a:xfrm>
          <a:off x="6545315" y="3102184"/>
          <a:ext cx="708092" cy="245784"/>
        </a:xfrm>
        <a:custGeom>
          <a:avLst/>
          <a:gdLst/>
          <a:ahLst/>
          <a:cxnLst/>
          <a:rect l="0" t="0" r="0" b="0"/>
          <a:pathLst>
            <a:path>
              <a:moveTo>
                <a:pt x="0" y="0"/>
              </a:moveTo>
              <a:lnTo>
                <a:pt x="0" y="122892"/>
              </a:lnTo>
              <a:lnTo>
                <a:pt x="708092" y="122892"/>
              </a:lnTo>
              <a:lnTo>
                <a:pt x="708092"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E05C936-50DC-422F-95B0-AF53F2080D66}">
      <dsp:nvSpPr>
        <dsp:cNvPr id="0" name=""/>
        <dsp:cNvSpPr/>
      </dsp:nvSpPr>
      <dsp:spPr>
        <a:xfrm>
          <a:off x="5369061" y="3933169"/>
          <a:ext cx="175560" cy="538384"/>
        </a:xfrm>
        <a:custGeom>
          <a:avLst/>
          <a:gdLst/>
          <a:ahLst/>
          <a:cxnLst/>
          <a:rect l="0" t="0" r="0" b="0"/>
          <a:pathLst>
            <a:path>
              <a:moveTo>
                <a:pt x="0" y="0"/>
              </a:moveTo>
              <a:lnTo>
                <a:pt x="0" y="538384"/>
              </a:lnTo>
              <a:lnTo>
                <a:pt x="17556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A6C5EAD-BE5C-4FBB-8C60-B565271DFB1F}">
      <dsp:nvSpPr>
        <dsp:cNvPr id="0" name=""/>
        <dsp:cNvSpPr/>
      </dsp:nvSpPr>
      <dsp:spPr>
        <a:xfrm>
          <a:off x="5837222" y="3102184"/>
          <a:ext cx="708092" cy="245784"/>
        </a:xfrm>
        <a:custGeom>
          <a:avLst/>
          <a:gdLst/>
          <a:ahLst/>
          <a:cxnLst/>
          <a:rect l="0" t="0" r="0" b="0"/>
          <a:pathLst>
            <a:path>
              <a:moveTo>
                <a:pt x="708092" y="0"/>
              </a:moveTo>
              <a:lnTo>
                <a:pt x="708092" y="122892"/>
              </a:lnTo>
              <a:lnTo>
                <a:pt x="0" y="122892"/>
              </a:lnTo>
              <a:lnTo>
                <a:pt x="0"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8A671C3-BC75-4B2C-819C-78F199ABE296}">
      <dsp:nvSpPr>
        <dsp:cNvPr id="0" name=""/>
        <dsp:cNvSpPr/>
      </dsp:nvSpPr>
      <dsp:spPr>
        <a:xfrm>
          <a:off x="5336875" y="2271199"/>
          <a:ext cx="1208439" cy="245784"/>
        </a:xfrm>
        <a:custGeom>
          <a:avLst/>
          <a:gdLst/>
          <a:ahLst/>
          <a:cxnLst/>
          <a:rect l="0" t="0" r="0" b="0"/>
          <a:pathLst>
            <a:path>
              <a:moveTo>
                <a:pt x="0" y="0"/>
              </a:moveTo>
              <a:lnTo>
                <a:pt x="0" y="122892"/>
              </a:lnTo>
              <a:lnTo>
                <a:pt x="1208439" y="122892"/>
              </a:lnTo>
              <a:lnTo>
                <a:pt x="1208439"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D1B445E-EC8A-4587-9390-5CA3A933BDFB}">
      <dsp:nvSpPr>
        <dsp:cNvPr id="0" name=""/>
        <dsp:cNvSpPr/>
      </dsp:nvSpPr>
      <dsp:spPr>
        <a:xfrm>
          <a:off x="3660275" y="3102184"/>
          <a:ext cx="175560" cy="538384"/>
        </a:xfrm>
        <a:custGeom>
          <a:avLst/>
          <a:gdLst/>
          <a:ahLst/>
          <a:cxnLst/>
          <a:rect l="0" t="0" r="0" b="0"/>
          <a:pathLst>
            <a:path>
              <a:moveTo>
                <a:pt x="0" y="0"/>
              </a:moveTo>
              <a:lnTo>
                <a:pt x="0" y="538384"/>
              </a:lnTo>
              <a:lnTo>
                <a:pt x="17556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79087EC-F7A1-466E-8C41-E2DA395C4F9E}">
      <dsp:nvSpPr>
        <dsp:cNvPr id="0" name=""/>
        <dsp:cNvSpPr/>
      </dsp:nvSpPr>
      <dsp:spPr>
        <a:xfrm>
          <a:off x="4128436" y="2271199"/>
          <a:ext cx="1208439" cy="245784"/>
        </a:xfrm>
        <a:custGeom>
          <a:avLst/>
          <a:gdLst/>
          <a:ahLst/>
          <a:cxnLst/>
          <a:rect l="0" t="0" r="0" b="0"/>
          <a:pathLst>
            <a:path>
              <a:moveTo>
                <a:pt x="1208439" y="0"/>
              </a:moveTo>
              <a:lnTo>
                <a:pt x="1208439" y="122892"/>
              </a:lnTo>
              <a:lnTo>
                <a:pt x="0" y="122892"/>
              </a:lnTo>
              <a:lnTo>
                <a:pt x="0"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38099E3-55C4-4DE7-9C24-3E7745B7E11A}">
      <dsp:nvSpPr>
        <dsp:cNvPr id="0" name=""/>
        <dsp:cNvSpPr/>
      </dsp:nvSpPr>
      <dsp:spPr>
        <a:xfrm>
          <a:off x="3697985" y="1458531"/>
          <a:ext cx="1638889" cy="227467"/>
        </a:xfrm>
        <a:custGeom>
          <a:avLst/>
          <a:gdLst/>
          <a:ahLst/>
          <a:cxnLst/>
          <a:rect l="0" t="0" r="0" b="0"/>
          <a:pathLst>
            <a:path>
              <a:moveTo>
                <a:pt x="0" y="0"/>
              </a:moveTo>
              <a:lnTo>
                <a:pt x="0" y="104575"/>
              </a:lnTo>
              <a:lnTo>
                <a:pt x="1638889" y="104575"/>
              </a:lnTo>
              <a:lnTo>
                <a:pt x="1638889" y="22746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FF4850A1-BF17-4A5A-8881-8E41B8BE9F0E}">
      <dsp:nvSpPr>
        <dsp:cNvPr id="0" name=""/>
        <dsp:cNvSpPr/>
      </dsp:nvSpPr>
      <dsp:spPr>
        <a:xfrm>
          <a:off x="2244089" y="3102184"/>
          <a:ext cx="175560" cy="538384"/>
        </a:xfrm>
        <a:custGeom>
          <a:avLst/>
          <a:gdLst/>
          <a:ahLst/>
          <a:cxnLst/>
          <a:rect l="0" t="0" r="0" b="0"/>
          <a:pathLst>
            <a:path>
              <a:moveTo>
                <a:pt x="0" y="0"/>
              </a:moveTo>
              <a:lnTo>
                <a:pt x="0" y="538384"/>
              </a:lnTo>
              <a:lnTo>
                <a:pt x="17556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C350071-BBB0-47F2-8501-3B14AF11E6F0}">
      <dsp:nvSpPr>
        <dsp:cNvPr id="0" name=""/>
        <dsp:cNvSpPr/>
      </dsp:nvSpPr>
      <dsp:spPr>
        <a:xfrm>
          <a:off x="2004157" y="2271199"/>
          <a:ext cx="708092" cy="245784"/>
        </a:xfrm>
        <a:custGeom>
          <a:avLst/>
          <a:gdLst/>
          <a:ahLst/>
          <a:cxnLst/>
          <a:rect l="0" t="0" r="0" b="0"/>
          <a:pathLst>
            <a:path>
              <a:moveTo>
                <a:pt x="0" y="0"/>
              </a:moveTo>
              <a:lnTo>
                <a:pt x="0" y="122892"/>
              </a:lnTo>
              <a:lnTo>
                <a:pt x="708092" y="122892"/>
              </a:lnTo>
              <a:lnTo>
                <a:pt x="708092"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6145D9F-FC3E-4BDB-B23F-A6436EE7DE49}">
      <dsp:nvSpPr>
        <dsp:cNvPr id="0" name=""/>
        <dsp:cNvSpPr/>
      </dsp:nvSpPr>
      <dsp:spPr>
        <a:xfrm>
          <a:off x="827903" y="3102184"/>
          <a:ext cx="175560" cy="538384"/>
        </a:xfrm>
        <a:custGeom>
          <a:avLst/>
          <a:gdLst/>
          <a:ahLst/>
          <a:cxnLst/>
          <a:rect l="0" t="0" r="0" b="0"/>
          <a:pathLst>
            <a:path>
              <a:moveTo>
                <a:pt x="0" y="0"/>
              </a:moveTo>
              <a:lnTo>
                <a:pt x="0" y="538384"/>
              </a:lnTo>
              <a:lnTo>
                <a:pt x="17556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D3F4439-48ED-424A-9B71-7793BC4A75AE}">
      <dsp:nvSpPr>
        <dsp:cNvPr id="0" name=""/>
        <dsp:cNvSpPr/>
      </dsp:nvSpPr>
      <dsp:spPr>
        <a:xfrm>
          <a:off x="1296064" y="2271199"/>
          <a:ext cx="708092" cy="245784"/>
        </a:xfrm>
        <a:custGeom>
          <a:avLst/>
          <a:gdLst/>
          <a:ahLst/>
          <a:cxnLst/>
          <a:rect l="0" t="0" r="0" b="0"/>
          <a:pathLst>
            <a:path>
              <a:moveTo>
                <a:pt x="708092" y="0"/>
              </a:moveTo>
              <a:lnTo>
                <a:pt x="708092" y="122892"/>
              </a:lnTo>
              <a:lnTo>
                <a:pt x="0" y="122892"/>
              </a:lnTo>
              <a:lnTo>
                <a:pt x="0" y="2457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9AB85C2-3028-4CB5-95F3-B2C62125F7B0}">
      <dsp:nvSpPr>
        <dsp:cNvPr id="0" name=""/>
        <dsp:cNvSpPr/>
      </dsp:nvSpPr>
      <dsp:spPr>
        <a:xfrm>
          <a:off x="2004157" y="1458531"/>
          <a:ext cx="1693828" cy="227467"/>
        </a:xfrm>
        <a:custGeom>
          <a:avLst/>
          <a:gdLst/>
          <a:ahLst/>
          <a:cxnLst/>
          <a:rect l="0" t="0" r="0" b="0"/>
          <a:pathLst>
            <a:path>
              <a:moveTo>
                <a:pt x="1693828" y="0"/>
              </a:moveTo>
              <a:lnTo>
                <a:pt x="1693828" y="104575"/>
              </a:lnTo>
              <a:lnTo>
                <a:pt x="0" y="104575"/>
              </a:lnTo>
              <a:lnTo>
                <a:pt x="0" y="22746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274FC5D-E802-4EAA-BA61-C8CFB33ED887}">
      <dsp:nvSpPr>
        <dsp:cNvPr id="0" name=""/>
        <dsp:cNvSpPr/>
      </dsp:nvSpPr>
      <dsp:spPr>
        <a:xfrm>
          <a:off x="2275544" y="609229"/>
          <a:ext cx="1422441" cy="264101"/>
        </a:xfrm>
        <a:custGeom>
          <a:avLst/>
          <a:gdLst/>
          <a:ahLst/>
          <a:cxnLst/>
          <a:rect l="0" t="0" r="0" b="0"/>
          <a:pathLst>
            <a:path>
              <a:moveTo>
                <a:pt x="0" y="0"/>
              </a:moveTo>
              <a:lnTo>
                <a:pt x="0" y="141208"/>
              </a:lnTo>
              <a:lnTo>
                <a:pt x="1422441" y="141208"/>
              </a:lnTo>
              <a:lnTo>
                <a:pt x="1422441" y="26410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0CF2585-8A42-438F-A80C-8030A2BFAF50}">
      <dsp:nvSpPr>
        <dsp:cNvPr id="0" name=""/>
        <dsp:cNvSpPr/>
      </dsp:nvSpPr>
      <dsp:spPr>
        <a:xfrm>
          <a:off x="1173172" y="1440214"/>
          <a:ext cx="175560" cy="538384"/>
        </a:xfrm>
        <a:custGeom>
          <a:avLst/>
          <a:gdLst/>
          <a:ahLst/>
          <a:cxnLst/>
          <a:rect l="0" t="0" r="0" b="0"/>
          <a:pathLst>
            <a:path>
              <a:moveTo>
                <a:pt x="175560" y="0"/>
              </a:moveTo>
              <a:lnTo>
                <a:pt x="175560" y="538384"/>
              </a:lnTo>
              <a:lnTo>
                <a:pt x="0" y="538384"/>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CF42465-4450-40F5-938D-045A094FFBBA}">
      <dsp:nvSpPr>
        <dsp:cNvPr id="0" name=""/>
        <dsp:cNvSpPr/>
      </dsp:nvSpPr>
      <dsp:spPr>
        <a:xfrm>
          <a:off x="880571" y="609229"/>
          <a:ext cx="1394972" cy="245784"/>
        </a:xfrm>
        <a:custGeom>
          <a:avLst/>
          <a:gdLst/>
          <a:ahLst/>
          <a:cxnLst/>
          <a:rect l="0" t="0" r="0" b="0"/>
          <a:pathLst>
            <a:path>
              <a:moveTo>
                <a:pt x="1394972" y="0"/>
              </a:moveTo>
              <a:lnTo>
                <a:pt x="1394972" y="122892"/>
              </a:lnTo>
              <a:lnTo>
                <a:pt x="0" y="122892"/>
              </a:lnTo>
              <a:lnTo>
                <a:pt x="0" y="24578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F49FE68C-7BF1-409D-A582-A865AD4E67E8}">
      <dsp:nvSpPr>
        <dsp:cNvPr id="0" name=""/>
        <dsp:cNvSpPr/>
      </dsp:nvSpPr>
      <dsp:spPr>
        <a:xfrm>
          <a:off x="1690343" y="24028"/>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Anzahl von neu zu schaffenden Stellplätzen</a:t>
          </a:r>
        </a:p>
      </dsp:txBody>
      <dsp:txXfrm>
        <a:off x="1690343" y="24028"/>
        <a:ext cx="1170401" cy="585200"/>
      </dsp:txXfrm>
    </dsp:sp>
    <dsp:sp modelId="{7A439DA7-6610-44BE-A2DE-32C68DB38DDB}">
      <dsp:nvSpPr>
        <dsp:cNvPr id="0" name=""/>
        <dsp:cNvSpPr/>
      </dsp:nvSpPr>
      <dsp:spPr>
        <a:xfrm>
          <a:off x="295371" y="855013"/>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gleich</a:t>
          </a:r>
        </a:p>
      </dsp:txBody>
      <dsp:txXfrm>
        <a:off x="295371" y="855013"/>
        <a:ext cx="1170401" cy="585200"/>
      </dsp:txXfrm>
    </dsp:sp>
    <dsp:sp modelId="{BCDB8714-AA53-47ED-B3E0-88E91FF3EC80}">
      <dsp:nvSpPr>
        <dsp:cNvPr id="0" name=""/>
        <dsp:cNvSpPr/>
      </dsp:nvSpPr>
      <dsp:spPr>
        <a:xfrm>
          <a:off x="2770" y="1685998"/>
          <a:ext cx="1170401" cy="585200"/>
        </a:xfrm>
        <a:prstGeom prst="round2DiagRect">
          <a:avLst/>
        </a:prstGeom>
        <a:solidFill>
          <a:srgbClr val="00B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solidFill>
                <a:schemeClr val="bg1"/>
              </a:solidFill>
            </a:rPr>
            <a:t>A</a:t>
          </a:r>
          <a:r>
            <a:rPr lang="de-DE" sz="600" kern="1200" dirty="0">
              <a:solidFill>
                <a:schemeClr val="bg1"/>
              </a:solidFill>
            </a:rPr>
            <a:t>: NKV ist eindeutig: Die Planung mit dem höchsten NKV ist die wirtschaftlichste Alternative und sollte umgesetzt werden</a:t>
          </a:r>
        </a:p>
      </dsp:txBody>
      <dsp:txXfrm>
        <a:off x="31337" y="1714565"/>
        <a:ext cx="1113267" cy="528066"/>
      </dsp:txXfrm>
    </dsp:sp>
    <dsp:sp modelId="{8B6E9BA4-8873-4CC0-A0DA-9D730F6DD832}">
      <dsp:nvSpPr>
        <dsp:cNvPr id="0" name=""/>
        <dsp:cNvSpPr/>
      </dsp:nvSpPr>
      <dsp:spPr>
        <a:xfrm>
          <a:off x="3112785" y="873330"/>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ungleich</a:t>
          </a:r>
        </a:p>
      </dsp:txBody>
      <dsp:txXfrm>
        <a:off x="3112785" y="873330"/>
        <a:ext cx="1170401" cy="585200"/>
      </dsp:txXfrm>
    </dsp:sp>
    <dsp:sp modelId="{7B6ABDB9-2347-433C-A170-A78286B509E4}">
      <dsp:nvSpPr>
        <dsp:cNvPr id="0" name=""/>
        <dsp:cNvSpPr/>
      </dsp:nvSpPr>
      <dsp:spPr>
        <a:xfrm>
          <a:off x="1418956" y="1685998"/>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konventionelles Parken &lt; 1</a:t>
          </a:r>
        </a:p>
      </dsp:txBody>
      <dsp:txXfrm>
        <a:off x="1418956" y="1685998"/>
        <a:ext cx="1170401" cy="585200"/>
      </dsp:txXfrm>
    </dsp:sp>
    <dsp:sp modelId="{948A369A-C032-434C-B84D-339DDA24BD76}">
      <dsp:nvSpPr>
        <dsp:cNvPr id="0" name=""/>
        <dsp:cNvSpPr/>
      </dsp:nvSpPr>
      <dsp:spPr>
        <a:xfrm>
          <a:off x="710863" y="2516983"/>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telematisches Parken </a:t>
          </a:r>
          <a:br>
            <a:rPr lang="de-DE" sz="800" kern="1200" dirty="0"/>
          </a:br>
          <a:r>
            <a:rPr lang="de-DE" sz="800" kern="1200" dirty="0"/>
            <a:t>&lt;1</a:t>
          </a:r>
        </a:p>
      </dsp:txBody>
      <dsp:txXfrm>
        <a:off x="710863" y="2516983"/>
        <a:ext cx="1170401" cy="585200"/>
      </dsp:txXfrm>
    </dsp:sp>
    <dsp:sp modelId="{305D9CFA-E872-477F-9C4D-059D8CDA0FB2}">
      <dsp:nvSpPr>
        <dsp:cNvPr id="0" name=""/>
        <dsp:cNvSpPr/>
      </dsp:nvSpPr>
      <dsp:spPr>
        <a:xfrm>
          <a:off x="1003464" y="3347968"/>
          <a:ext cx="1170401" cy="585200"/>
        </a:xfrm>
        <a:prstGeom prst="round2DiagRect">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t>B:</a:t>
          </a:r>
          <a:r>
            <a:rPr lang="de-DE" sz="700" kern="1200" dirty="0"/>
            <a:t> weder konventionelles noch telematisches Parken ist wirtschaftlich</a:t>
          </a:r>
        </a:p>
      </dsp:txBody>
      <dsp:txXfrm>
        <a:off x="1032031" y="3376535"/>
        <a:ext cx="1113267" cy="528066"/>
      </dsp:txXfrm>
    </dsp:sp>
    <dsp:sp modelId="{87E41D2C-EC6B-48AB-A97C-F89D989C9B1A}">
      <dsp:nvSpPr>
        <dsp:cNvPr id="0" name=""/>
        <dsp:cNvSpPr/>
      </dsp:nvSpPr>
      <dsp:spPr>
        <a:xfrm>
          <a:off x="2127049" y="2516983"/>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telematisches Parken &gt;1</a:t>
          </a:r>
        </a:p>
      </dsp:txBody>
      <dsp:txXfrm>
        <a:off x="2127049" y="2516983"/>
        <a:ext cx="1170401" cy="585200"/>
      </dsp:txXfrm>
    </dsp:sp>
    <dsp:sp modelId="{67A05B9B-3382-410A-82B1-F66C88AF763B}">
      <dsp:nvSpPr>
        <dsp:cNvPr id="0" name=""/>
        <dsp:cNvSpPr/>
      </dsp:nvSpPr>
      <dsp:spPr>
        <a:xfrm>
          <a:off x="2419649" y="3347968"/>
          <a:ext cx="1170401" cy="585200"/>
        </a:xfrm>
        <a:prstGeom prst="round2DiagRect">
          <a:avLst/>
        </a:prstGeom>
        <a:solidFill>
          <a:srgbClr val="00B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t>C: t</a:t>
          </a:r>
          <a:r>
            <a:rPr lang="de-DE" sz="700" kern="1200" dirty="0"/>
            <a:t>elematisches Parken ist wirtschaftlich</a:t>
          </a:r>
        </a:p>
      </dsp:txBody>
      <dsp:txXfrm>
        <a:off x="2448216" y="3376535"/>
        <a:ext cx="1113267" cy="528066"/>
      </dsp:txXfrm>
    </dsp:sp>
    <dsp:sp modelId="{91BBC387-17C7-4B75-A434-DAFE09081A8F}">
      <dsp:nvSpPr>
        <dsp:cNvPr id="0" name=""/>
        <dsp:cNvSpPr/>
      </dsp:nvSpPr>
      <dsp:spPr>
        <a:xfrm>
          <a:off x="4751674" y="1685998"/>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konventionelles Parken &gt; 1</a:t>
          </a:r>
        </a:p>
      </dsp:txBody>
      <dsp:txXfrm>
        <a:off x="4751674" y="1685998"/>
        <a:ext cx="1170401" cy="585200"/>
      </dsp:txXfrm>
    </dsp:sp>
    <dsp:sp modelId="{C2B2486F-E45D-4F14-9F5A-64179C38D39A}">
      <dsp:nvSpPr>
        <dsp:cNvPr id="0" name=""/>
        <dsp:cNvSpPr/>
      </dsp:nvSpPr>
      <dsp:spPr>
        <a:xfrm>
          <a:off x="3543235" y="2516983"/>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telematisches Parken &lt;1</a:t>
          </a:r>
        </a:p>
      </dsp:txBody>
      <dsp:txXfrm>
        <a:off x="3543235" y="2516983"/>
        <a:ext cx="1170401" cy="585200"/>
      </dsp:txXfrm>
    </dsp:sp>
    <dsp:sp modelId="{D7B613EB-86D1-4FC1-8387-F645849024EB}">
      <dsp:nvSpPr>
        <dsp:cNvPr id="0" name=""/>
        <dsp:cNvSpPr/>
      </dsp:nvSpPr>
      <dsp:spPr>
        <a:xfrm>
          <a:off x="3835835" y="3347968"/>
          <a:ext cx="1170401" cy="585200"/>
        </a:xfrm>
        <a:prstGeom prst="round2DiagRect">
          <a:avLst/>
        </a:prstGeom>
        <a:solidFill>
          <a:srgbClr val="00B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t>D: </a:t>
          </a:r>
          <a:r>
            <a:rPr lang="de-DE" sz="700" kern="1200" dirty="0"/>
            <a:t>konventionelles Parken ist wirtschaftlich</a:t>
          </a:r>
        </a:p>
      </dsp:txBody>
      <dsp:txXfrm>
        <a:off x="3864402" y="3376535"/>
        <a:ext cx="1113267" cy="528066"/>
      </dsp:txXfrm>
    </dsp:sp>
    <dsp:sp modelId="{2A5EF169-42A5-4916-9F56-35496AA3636C}">
      <dsp:nvSpPr>
        <dsp:cNvPr id="0" name=""/>
        <dsp:cNvSpPr/>
      </dsp:nvSpPr>
      <dsp:spPr>
        <a:xfrm>
          <a:off x="5960114" y="2516983"/>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telematisches Parken &gt;1</a:t>
          </a:r>
        </a:p>
      </dsp:txBody>
      <dsp:txXfrm>
        <a:off x="5960114" y="2516983"/>
        <a:ext cx="1170401" cy="585200"/>
      </dsp:txXfrm>
    </dsp:sp>
    <dsp:sp modelId="{F70C8DBB-3AAC-4DCD-8A92-7F55BFB91AA2}">
      <dsp:nvSpPr>
        <dsp:cNvPr id="0" name=""/>
        <dsp:cNvSpPr/>
      </dsp:nvSpPr>
      <dsp:spPr>
        <a:xfrm>
          <a:off x="5252021" y="3347968"/>
          <a:ext cx="1170401" cy="585200"/>
        </a:xfrm>
        <a:prstGeom prst="rect">
          <a:avLst/>
        </a:prstGeom>
        <a:solidFill>
          <a:srgbClr val="0E518D"/>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konventionelles Parken </a:t>
          </a:r>
          <a:br>
            <a:rPr lang="de-DE" sz="800" kern="1200" dirty="0"/>
          </a:br>
          <a:r>
            <a:rPr lang="de-DE" sz="800" kern="1200" dirty="0">
              <a:solidFill>
                <a:schemeClr val="bg1"/>
              </a:solidFill>
            </a:rPr>
            <a:t>&lt;</a:t>
          </a:r>
          <a:br>
            <a:rPr lang="de-DE" sz="800" kern="1200" dirty="0">
              <a:solidFill>
                <a:schemeClr val="bg1"/>
              </a:solidFill>
            </a:rPr>
          </a:br>
          <a:r>
            <a:rPr lang="de-DE" sz="800" kern="1200" dirty="0">
              <a:solidFill>
                <a:schemeClr val="bg1"/>
              </a:solidFill>
            </a:rPr>
            <a:t> NKV telematisches Parken</a:t>
          </a:r>
        </a:p>
      </dsp:txBody>
      <dsp:txXfrm>
        <a:off x="5252021" y="3347968"/>
        <a:ext cx="1170401" cy="585200"/>
      </dsp:txXfrm>
    </dsp:sp>
    <dsp:sp modelId="{096C4E01-5681-4BF7-B5D6-59617A9C03C9}">
      <dsp:nvSpPr>
        <dsp:cNvPr id="0" name=""/>
        <dsp:cNvSpPr/>
      </dsp:nvSpPr>
      <dsp:spPr>
        <a:xfrm>
          <a:off x="5544621" y="4178953"/>
          <a:ext cx="1170401" cy="585200"/>
        </a:xfrm>
        <a:prstGeom prst="round2DiagRect">
          <a:avLst/>
        </a:prstGeom>
        <a:solidFill>
          <a:srgbClr val="00B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t> E: </a:t>
          </a:r>
          <a:r>
            <a:rPr lang="de-DE" sz="700" kern="1200" dirty="0"/>
            <a:t>telematisches Parken ist wirtschaftlicher als konventionelles Parken</a:t>
          </a:r>
        </a:p>
      </dsp:txBody>
      <dsp:txXfrm>
        <a:off x="5573188" y="4207520"/>
        <a:ext cx="1113267" cy="528066"/>
      </dsp:txXfrm>
    </dsp:sp>
    <dsp:sp modelId="{50BC7B5A-89DC-4544-84A3-980626D604DF}">
      <dsp:nvSpPr>
        <dsp:cNvPr id="0" name=""/>
        <dsp:cNvSpPr/>
      </dsp:nvSpPr>
      <dsp:spPr>
        <a:xfrm>
          <a:off x="6668207" y="3347968"/>
          <a:ext cx="1170401" cy="58520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DE" sz="800" kern="1200" dirty="0"/>
            <a:t>NKV konventionelles Parken </a:t>
          </a:r>
          <a:br>
            <a:rPr lang="de-DE" sz="800" kern="1200" dirty="0"/>
          </a:br>
          <a:r>
            <a:rPr lang="de-DE" sz="800" kern="1200" dirty="0"/>
            <a:t> &gt;</a:t>
          </a:r>
          <a:br>
            <a:rPr lang="de-DE" sz="800" kern="1200" dirty="0"/>
          </a:br>
          <a:r>
            <a:rPr lang="de-DE" sz="800" kern="1200" dirty="0"/>
            <a:t> NKV telematisches Parken</a:t>
          </a:r>
        </a:p>
      </dsp:txBody>
      <dsp:txXfrm>
        <a:off x="6668207" y="3347968"/>
        <a:ext cx="1170401" cy="585200"/>
      </dsp:txXfrm>
    </dsp:sp>
    <dsp:sp modelId="{50A8EA85-D773-44BF-9BA7-55ABC9BEF65D}">
      <dsp:nvSpPr>
        <dsp:cNvPr id="0" name=""/>
        <dsp:cNvSpPr/>
      </dsp:nvSpPr>
      <dsp:spPr>
        <a:xfrm>
          <a:off x="6960807" y="4178953"/>
          <a:ext cx="1170401" cy="585200"/>
        </a:xfrm>
        <a:prstGeom prst="round2DiagRect">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solidFill>
                <a:schemeClr val="bg1"/>
              </a:solidFill>
            </a:rPr>
            <a:t>F1:</a:t>
          </a:r>
          <a:r>
            <a:rPr lang="de-DE" sz="700" kern="1200" dirty="0">
              <a:solidFill>
                <a:schemeClr val="bg1"/>
              </a:solidFill>
            </a:rPr>
            <a:t>DIFF-NKV &lt;1 = telematisches Parken ist weniger wirtschaftlich als konventionelles Parken</a:t>
          </a:r>
        </a:p>
      </dsp:txBody>
      <dsp:txXfrm>
        <a:off x="6989374" y="4207520"/>
        <a:ext cx="1113267" cy="528066"/>
      </dsp:txXfrm>
    </dsp:sp>
    <dsp:sp modelId="{F6A37FBE-1708-4748-80F3-336F567207EE}">
      <dsp:nvSpPr>
        <dsp:cNvPr id="0" name=""/>
        <dsp:cNvSpPr/>
      </dsp:nvSpPr>
      <dsp:spPr>
        <a:xfrm>
          <a:off x="6960807" y="5009938"/>
          <a:ext cx="1170401" cy="585200"/>
        </a:xfrm>
        <a:prstGeom prst="round2DiagRect">
          <a:avLst/>
        </a:prstGeom>
        <a:solidFill>
          <a:srgbClr val="00B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DE" sz="1000" b="1" kern="1200" dirty="0"/>
            <a:t>F2: </a:t>
          </a:r>
          <a:r>
            <a:rPr lang="de-DE" sz="700" kern="1200" dirty="0"/>
            <a:t>DIFF-NKV &gt;1 = telematisches Parken ist wirtschaftlicher als konventionelles Parken</a:t>
          </a:r>
        </a:p>
      </dsp:txBody>
      <dsp:txXfrm>
        <a:off x="6989374" y="5038505"/>
        <a:ext cx="1113267" cy="52806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editAs="oneCell">
    <xdr:from>
      <xdr:col>10</xdr:col>
      <xdr:colOff>85725</xdr:colOff>
      <xdr:row>14</xdr:row>
      <xdr:rowOff>56148</xdr:rowOff>
    </xdr:from>
    <xdr:to>
      <xdr:col>14</xdr:col>
      <xdr:colOff>34434</xdr:colOff>
      <xdr:row>18</xdr:row>
      <xdr:rowOff>152399</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57950" y="5542548"/>
          <a:ext cx="2930669" cy="2191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144780</xdr:colOff>
      <xdr:row>5</xdr:row>
      <xdr:rowOff>26352</xdr:rowOff>
    </xdr:from>
    <xdr:ext cx="2499552" cy="81946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7A238130-67B9-4760-A2AA-DA76C3EB6C0F}"/>
                </a:ext>
              </a:extLst>
            </xdr:cNvPr>
            <xdr:cNvSpPr txBox="1"/>
          </xdr:nvSpPr>
          <xdr:spPr>
            <a:xfrm>
              <a:off x="1615440" y="5375592"/>
              <a:ext cx="2499552" cy="81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de-DE" sz="1400" i="0">
                  <a:latin typeface="+mn-lt"/>
                </a:rPr>
                <a:t>Differenz-NKV</a:t>
              </a:r>
              <a:r>
                <a:rPr lang="de-DE" sz="1400" i="0" baseline="0">
                  <a:latin typeface="+mn-lt"/>
                </a:rPr>
                <a:t> </a:t>
              </a:r>
              <a14:m>
                <m:oMath xmlns:m="http://schemas.openxmlformats.org/officeDocument/2006/math">
                  <m:r>
                    <a:rPr lang="de-DE" sz="1400" i="1">
                      <a:latin typeface="Cambria Math" panose="02040503050406030204" pitchFamily="18" charset="0"/>
                    </a:rPr>
                    <m:t>=</m:t>
                  </m:r>
                  <m:f>
                    <m:fPr>
                      <m:ctrlPr>
                        <a:rPr lang="de-DE" sz="1400" i="1">
                          <a:latin typeface="Cambria Math" panose="02040503050406030204" pitchFamily="18" charset="0"/>
                        </a:rPr>
                      </m:ctrlPr>
                    </m:fPr>
                    <m:num>
                      <m:r>
                        <a:rPr lang="de-DE" sz="1400" b="0" i="1">
                          <a:latin typeface="Cambria Math" panose="02040503050406030204" pitchFamily="18" charset="0"/>
                        </a:rPr>
                        <m:t>𝑁𝑢𝑡𝑧𝑒𝑛</m:t>
                      </m:r>
                      <m:r>
                        <a:rPr lang="de-DE" sz="1400" b="0" i="1">
                          <a:latin typeface="Cambria Math" panose="02040503050406030204" pitchFamily="18" charset="0"/>
                        </a:rPr>
                        <m:t> 2−</m:t>
                      </m:r>
                      <m:r>
                        <a:rPr lang="de-DE" sz="1400" b="0" i="1">
                          <a:latin typeface="Cambria Math" panose="02040503050406030204" pitchFamily="18" charset="0"/>
                        </a:rPr>
                        <m:t>𝑁𝑢𝑡𝑧𝑒𝑛</m:t>
                      </m:r>
                      <m:r>
                        <a:rPr lang="de-DE" sz="1400" b="0" i="1">
                          <a:latin typeface="Cambria Math" panose="02040503050406030204" pitchFamily="18" charset="0"/>
                        </a:rPr>
                        <m:t> 1</m:t>
                      </m:r>
                    </m:num>
                    <m:den>
                      <m:r>
                        <a:rPr lang="de-DE" sz="1400" b="0" i="1">
                          <a:latin typeface="Cambria Math" panose="02040503050406030204" pitchFamily="18" charset="0"/>
                        </a:rPr>
                        <m:t>𝐾𝑜𝑠𝑡𝑒𝑛</m:t>
                      </m:r>
                      <m:r>
                        <a:rPr lang="de-DE" sz="1400" b="0" i="1">
                          <a:latin typeface="Cambria Math" panose="02040503050406030204" pitchFamily="18" charset="0"/>
                        </a:rPr>
                        <m:t> 2−</m:t>
                      </m:r>
                      <m:r>
                        <a:rPr lang="de-DE" sz="1400" b="0" i="1">
                          <a:latin typeface="Cambria Math" panose="02040503050406030204" pitchFamily="18" charset="0"/>
                        </a:rPr>
                        <m:t>𝑘𝑜𝑠𝑡𝑒𝑛</m:t>
                      </m:r>
                      <m:r>
                        <a:rPr lang="de-DE" sz="1400" b="0" i="1">
                          <a:latin typeface="Cambria Math" panose="02040503050406030204" pitchFamily="18" charset="0"/>
                        </a:rPr>
                        <m:t> 1</m:t>
                      </m:r>
                    </m:den>
                  </m:f>
                </m:oMath>
              </a14:m>
              <a:endParaRPr lang="de-DE" sz="1400" i="0">
                <a:latin typeface="+mn-lt"/>
              </a:endParaRPr>
            </a:p>
            <a:p>
              <a:endParaRPr lang="de-DE" sz="1400"/>
            </a:p>
            <a:p>
              <a:r>
                <a:rPr lang="de-DE" sz="1400"/>
                <a:t>(bei</a:t>
              </a:r>
              <a:r>
                <a:rPr lang="de-DE" sz="1400" baseline="0"/>
                <a:t> nutzenungleichen Varianten)</a:t>
              </a:r>
            </a:p>
            <a:p>
              <a:endParaRPr lang="de-DE" sz="1400"/>
            </a:p>
          </xdr:txBody>
        </xdr:sp>
      </mc:Choice>
      <mc:Fallback xmlns="">
        <xdr:sp macro="" textlink="">
          <xdr:nvSpPr>
            <xdr:cNvPr id="3" name="Textfeld 2">
              <a:extLst>
                <a:ext uri="{FF2B5EF4-FFF2-40B4-BE49-F238E27FC236}">
                  <a16:creationId xmlns:a16="http://schemas.microsoft.com/office/drawing/2014/main" id="{7A238130-67B9-4760-A2AA-DA76C3EB6C0F}"/>
                </a:ext>
              </a:extLst>
            </xdr:cNvPr>
            <xdr:cNvSpPr txBox="1"/>
          </xdr:nvSpPr>
          <xdr:spPr>
            <a:xfrm>
              <a:off x="1615440" y="5375592"/>
              <a:ext cx="2499552" cy="81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de-DE" sz="1400" i="0">
                  <a:latin typeface="+mn-lt"/>
                </a:rPr>
                <a:t>Differenz-NKV</a:t>
              </a:r>
              <a:r>
                <a:rPr lang="de-DE" sz="1400" i="0" baseline="0">
                  <a:latin typeface="+mn-lt"/>
                </a:rPr>
                <a:t> </a:t>
              </a:r>
              <a:r>
                <a:rPr lang="de-DE" sz="1400" i="0">
                  <a:latin typeface="Cambria Math" panose="02040503050406030204" pitchFamily="18" charset="0"/>
                </a:rPr>
                <a:t>=(</a:t>
              </a:r>
              <a:r>
                <a:rPr lang="de-DE" sz="1400" b="0" i="0">
                  <a:latin typeface="Cambria Math" panose="02040503050406030204" pitchFamily="18" charset="0"/>
                </a:rPr>
                <a:t>𝑁𝑢𝑡𝑧𝑒𝑛 2−𝑁𝑢𝑡𝑧𝑒𝑛 1)/(𝐾𝑜𝑠𝑡𝑒𝑛 2−𝑘𝑜𝑠𝑡𝑒𝑛 1)</a:t>
              </a:r>
              <a:endParaRPr lang="de-DE" sz="1400" i="0">
                <a:latin typeface="+mn-lt"/>
              </a:endParaRPr>
            </a:p>
            <a:p>
              <a:endParaRPr lang="de-DE" sz="1400"/>
            </a:p>
            <a:p>
              <a:r>
                <a:rPr lang="de-DE" sz="1400"/>
                <a:t>(bei</a:t>
              </a:r>
              <a:r>
                <a:rPr lang="de-DE" sz="1400" baseline="0"/>
                <a:t> nutzenungleichen Varianten)</a:t>
              </a:r>
            </a:p>
            <a:p>
              <a:endParaRPr lang="de-DE" sz="1400"/>
            </a:p>
          </xdr:txBody>
        </xdr:sp>
      </mc:Fallback>
    </mc:AlternateContent>
    <xdr:clientData/>
  </xdr:oneCellAnchor>
  <xdr:twoCellAnchor>
    <xdr:from>
      <xdr:col>1</xdr:col>
      <xdr:colOff>16042</xdr:colOff>
      <xdr:row>4</xdr:row>
      <xdr:rowOff>60960</xdr:rowOff>
    </xdr:from>
    <xdr:to>
      <xdr:col>1</xdr:col>
      <xdr:colOff>3901440</xdr:colOff>
      <xdr:row>9</xdr:row>
      <xdr:rowOff>121920</xdr:rowOff>
    </xdr:to>
    <xdr:sp macro="" textlink="">
      <xdr:nvSpPr>
        <xdr:cNvPr id="4" name="Rechteck: abgerundete Ecken 3">
          <a:extLst>
            <a:ext uri="{FF2B5EF4-FFF2-40B4-BE49-F238E27FC236}">
              <a16:creationId xmlns:a16="http://schemas.microsoft.com/office/drawing/2014/main" id="{FBFB955D-EDBD-4724-8002-CE492076D4AB}"/>
            </a:ext>
          </a:extLst>
        </xdr:cNvPr>
        <xdr:cNvSpPr/>
      </xdr:nvSpPr>
      <xdr:spPr>
        <a:xfrm>
          <a:off x="1483895" y="4889634"/>
          <a:ext cx="3885398" cy="983381"/>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3</xdr:col>
      <xdr:colOff>224589</xdr:colOff>
      <xdr:row>4</xdr:row>
      <xdr:rowOff>175260</xdr:rowOff>
    </xdr:from>
    <xdr:ext cx="2342147" cy="777240"/>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6BE58D21-2DB5-4B06-93EC-1991FB3C6AB0}"/>
                </a:ext>
              </a:extLst>
            </xdr:cNvPr>
            <xdr:cNvSpPr txBox="1"/>
          </xdr:nvSpPr>
          <xdr:spPr>
            <a:xfrm>
              <a:off x="8390021" y="5003934"/>
              <a:ext cx="2342147" cy="777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de-DE" sz="1400" i="0">
                  <a:latin typeface="+mn-lt"/>
                </a:rPr>
                <a:t>NKV</a:t>
              </a:r>
              <a:r>
                <a:rPr lang="de-DE" sz="1400" i="0" baseline="0">
                  <a:latin typeface="+mn-lt"/>
                </a:rPr>
                <a:t> </a:t>
              </a:r>
              <a14:m>
                <m:oMath xmlns:m="http://schemas.openxmlformats.org/officeDocument/2006/math">
                  <m:r>
                    <a:rPr lang="de-DE" sz="1400" i="1">
                      <a:latin typeface="Cambria Math" panose="02040503050406030204" pitchFamily="18" charset="0"/>
                    </a:rPr>
                    <m:t>=</m:t>
                  </m:r>
                  <m:f>
                    <m:fPr>
                      <m:ctrlPr>
                        <a:rPr lang="de-DE" sz="1400" i="1">
                          <a:latin typeface="Cambria Math" panose="02040503050406030204" pitchFamily="18" charset="0"/>
                        </a:rPr>
                      </m:ctrlPr>
                    </m:fPr>
                    <m:num>
                      <m:r>
                        <a:rPr lang="de-DE" sz="1400" b="0" i="1">
                          <a:latin typeface="Cambria Math" panose="02040503050406030204" pitchFamily="18" charset="0"/>
                        </a:rPr>
                        <m:t>𝑁𝑢𝑡𝑧𝑒𝑛</m:t>
                      </m:r>
                    </m:num>
                    <m:den>
                      <m:r>
                        <a:rPr lang="de-DE" sz="1400" b="0" i="1">
                          <a:latin typeface="Cambria Math" panose="02040503050406030204" pitchFamily="18" charset="0"/>
                        </a:rPr>
                        <m:t>𝐾𝑜𝑠𝑡𝑒𝑛</m:t>
                      </m:r>
                    </m:den>
                  </m:f>
                </m:oMath>
              </a14:m>
              <a:endParaRPr lang="de-DE" sz="1400"/>
            </a:p>
            <a:p>
              <a:endParaRPr lang="de-DE" sz="1400"/>
            </a:p>
            <a:p>
              <a:r>
                <a:rPr lang="de-DE" sz="1400"/>
                <a:t>(bei nutzengleichen Varianten)</a:t>
              </a:r>
            </a:p>
          </xdr:txBody>
        </xdr:sp>
      </mc:Choice>
      <mc:Fallback xmlns="">
        <xdr:sp macro="" textlink="">
          <xdr:nvSpPr>
            <xdr:cNvPr id="5" name="Textfeld 4">
              <a:extLst>
                <a:ext uri="{FF2B5EF4-FFF2-40B4-BE49-F238E27FC236}">
                  <a16:creationId xmlns:a16="http://schemas.microsoft.com/office/drawing/2014/main" id="{6BE58D21-2DB5-4B06-93EC-1991FB3C6AB0}"/>
                </a:ext>
              </a:extLst>
            </xdr:cNvPr>
            <xdr:cNvSpPr txBox="1"/>
          </xdr:nvSpPr>
          <xdr:spPr>
            <a:xfrm>
              <a:off x="8390021" y="5003934"/>
              <a:ext cx="2342147" cy="777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de-DE" sz="1400" i="0">
                  <a:latin typeface="+mn-lt"/>
                </a:rPr>
                <a:t>NKV</a:t>
              </a:r>
              <a:r>
                <a:rPr lang="de-DE" sz="1400" i="0" baseline="0">
                  <a:latin typeface="+mn-lt"/>
                </a:rPr>
                <a:t> </a:t>
              </a:r>
              <a:r>
                <a:rPr lang="de-DE" sz="1400" i="0">
                  <a:latin typeface="Cambria Math" panose="02040503050406030204" pitchFamily="18" charset="0"/>
                </a:rPr>
                <a:t>=</a:t>
              </a:r>
              <a:r>
                <a:rPr lang="de-DE" sz="1400" b="0" i="0">
                  <a:latin typeface="Cambria Math" panose="02040503050406030204" pitchFamily="18" charset="0"/>
                </a:rPr>
                <a:t>𝑁𝑢𝑡𝑧𝑒𝑛/𝐾𝑜𝑠𝑡𝑒𝑛</a:t>
              </a:r>
              <a:endParaRPr lang="de-DE" sz="1400"/>
            </a:p>
            <a:p>
              <a:endParaRPr lang="de-DE" sz="1400"/>
            </a:p>
            <a:p>
              <a:r>
                <a:rPr lang="de-DE" sz="1400"/>
                <a:t>(bei nutzengleichen Varianten)</a:t>
              </a:r>
            </a:p>
          </xdr:txBody>
        </xdr:sp>
      </mc:Fallback>
    </mc:AlternateContent>
    <xdr:clientData/>
  </xdr:oneCellAnchor>
  <xdr:twoCellAnchor>
    <xdr:from>
      <xdr:col>3</xdr:col>
      <xdr:colOff>15240</xdr:colOff>
      <xdr:row>4</xdr:row>
      <xdr:rowOff>45720</xdr:rowOff>
    </xdr:from>
    <xdr:to>
      <xdr:col>4</xdr:col>
      <xdr:colOff>24063</xdr:colOff>
      <xdr:row>9</xdr:row>
      <xdr:rowOff>114300</xdr:rowOff>
    </xdr:to>
    <xdr:sp macro="" textlink="">
      <xdr:nvSpPr>
        <xdr:cNvPr id="6" name="Rechteck: abgerundete Ecken 5">
          <a:extLst>
            <a:ext uri="{FF2B5EF4-FFF2-40B4-BE49-F238E27FC236}">
              <a16:creationId xmlns:a16="http://schemas.microsoft.com/office/drawing/2014/main" id="{39AB7CE7-F5FE-4868-B3B6-C2BFEF76F4C7}"/>
            </a:ext>
          </a:extLst>
        </xdr:cNvPr>
        <xdr:cNvSpPr/>
      </xdr:nvSpPr>
      <xdr:spPr>
        <a:xfrm>
          <a:off x="8180672" y="4874394"/>
          <a:ext cx="2776086" cy="991001"/>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1109403</xdr:colOff>
      <xdr:row>15</xdr:row>
      <xdr:rowOff>183791</xdr:rowOff>
    </xdr:from>
    <xdr:to>
      <xdr:col>3</xdr:col>
      <xdr:colOff>1394783</xdr:colOff>
      <xdr:row>42</xdr:row>
      <xdr:rowOff>42239</xdr:rowOff>
    </xdr:to>
    <xdr:graphicFrame macro="">
      <xdr:nvGraphicFramePr>
        <xdr:cNvPr id="7" name="Diagramm 6">
          <a:extLst>
            <a:ext uri="{FF2B5EF4-FFF2-40B4-BE49-F238E27FC236}">
              <a16:creationId xmlns:a16="http://schemas.microsoft.com/office/drawing/2014/main" id="{1C84AAD3-9DC9-4B83-88DA-1E0A8479611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2</xdr:col>
      <xdr:colOff>2767263</xdr:colOff>
      <xdr:row>10</xdr:row>
      <xdr:rowOff>24064</xdr:rowOff>
    </xdr:from>
    <xdr:to>
      <xdr:col>4</xdr:col>
      <xdr:colOff>16041</xdr:colOff>
      <xdr:row>14</xdr:row>
      <xdr:rowOff>64169</xdr:rowOff>
    </xdr:to>
    <xdr:sp macro="" textlink="">
      <xdr:nvSpPr>
        <xdr:cNvPr id="8" name="Rechteck: abgerundete Ecken 7">
          <a:extLst>
            <a:ext uri="{FF2B5EF4-FFF2-40B4-BE49-F238E27FC236}">
              <a16:creationId xmlns:a16="http://schemas.microsoft.com/office/drawing/2014/main" id="{C344E1AE-F915-4030-9868-DF490C37FE45}"/>
            </a:ext>
          </a:extLst>
        </xdr:cNvPr>
        <xdr:cNvSpPr/>
      </xdr:nvSpPr>
      <xdr:spPr>
        <a:xfrm>
          <a:off x="8165431" y="5959643"/>
          <a:ext cx="2783305" cy="778042"/>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6A7B90-2746-40FF-8B39-B74BEF841F0E}" name="Tabelle5" displayName="Tabelle5" ref="A8:M45" totalsRowShown="0" headerRowDxfId="106" dataDxfId="105">
  <autoFilter ref="A8:M45" xr:uid="{90EC41E7-240D-4337-B1F0-11B1D20D8CD8}"/>
  <tableColumns count="13">
    <tableColumn id="1" xr3:uid="{160FC192-260E-4613-8900-C37B5EDB003E}" name="Zeilennummer_x000a_ Standortkonzept" dataDxfId="104"/>
    <tableColumn id="2" xr3:uid="{0EB6DDD2-945C-4FA4-B185-5B11821CECF8}" name="Kennwerte/Kennzahlen" dataDxfId="103"/>
    <tableColumn id="13" xr3:uid="{B6F29232-6D35-41FF-B0AE-62A994EE4DAD}" name="Erläuterungsbericht" dataDxfId="102"/>
    <tableColumn id="3" xr3:uid="{776692F3-8198-468D-800C-D0D85B7DD6EC}" name="Übersichtslageplan" dataDxfId="101"/>
    <tableColumn id="4" xr3:uid="{8D04F921-ACF7-4EDB-BE12-D70A3D9C60D9}" name="Lageplan /Schnitte Bestand + telematisches Parken" dataDxfId="100"/>
    <tableColumn id="5" xr3:uid="{51A719EE-6724-4D63-9EBB-3271A93BC03A}" name="GE-Plan" dataDxfId="99"/>
    <tableColumn id="6" xr3:uid="{1197F2A3-F5A1-4F92-B18B-FE3F1A156948}" name="Flächenaufteilungsplan mit Grünfläche, Versiegelung etc." dataDxfId="98"/>
    <tableColumn id="7" xr3:uid="{42B658A6-DA3E-4119-854A-5CE069A34C51}" name="Bauablaufplan mit Verkehrsabläufen" dataDxfId="97"/>
    <tableColumn id="8" xr3:uid="{C3CA7E26-36CF-44E0-9C36-D768A88B6424}" name="Kostenschätzung nach AKVS für alle Varianten" dataDxfId="96"/>
    <tableColumn id="9" xr3:uid="{0C94A254-2F13-441D-BAFF-D9EF3BB75828}" name="Kontaktaufnahme zur Meisterei" dataDxfId="95"/>
    <tableColumn id="10" xr3:uid="{41CD7725-0CDB-495F-BE3B-ECCD1DFECB97}" name="Aktuelles Netzkonzept der Autobahn GmbH" dataDxfId="94"/>
    <tableColumn id="12" xr3:uid="{3F517DB3-8957-4732-89E1-22D150DC3AB4}" name="Kontaktaufnahme zum Konzessionär" dataDxfId="93"/>
    <tableColumn id="14" xr3:uid="{AE9CF6CF-3E61-4C46-8410-988330512F7F}" name="Bemerkungen" dataDxfId="9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BPI" displayName="BPI" ref="R5:S19" totalsRowShown="0" headerRowDxfId="44" dataDxfId="42" headerRowBorderDxfId="43" totalsRowBorderDxfId="41">
  <autoFilter ref="R5:S19" xr:uid="{00000000-0009-0000-0100-000003000000}"/>
  <tableColumns count="2">
    <tableColumn id="1" xr3:uid="{00000000-0010-0000-0000-000001000000}" name="Jahr" dataDxfId="40"/>
    <tableColumn id="2" xr3:uid="{00000000-0010-0000-0000-000002000000}" name="BPI" dataDxfId="3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bschreibung" displayName="Abschreibung" ref="G122:J131" totalsRowShown="0" headerRowDxfId="38" dataDxfId="36" headerRowBorderDxfId="37" tableBorderDxfId="35" totalsRowBorderDxfId="34">
  <autoFilter ref="G122:J131" xr:uid="{00000000-0009-0000-0100-000004000000}"/>
  <tableColumns count="4">
    <tableColumn id="1" xr3:uid="{00000000-0010-0000-0100-000001000000}" name="Haupt-gruppe" dataDxfId="33"/>
    <tableColumn id="2" xr3:uid="{00000000-0010-0000-0100-000002000000}" name="Abschrei-bungs-zeitraum [a]" dataDxfId="32"/>
    <tableColumn id="3" xr3:uid="{00000000-0010-0000-0100-000003000000}" name="Rechenwert [a]" dataDxfId="31">
      <calculatedColumnFormula>IF(Abschreibung[[#This Row],[Abschrei-bungs-zeitraum '[a']]]="∞",MAX(Abschreibung[Abschrei-bungs-zeitraum '[a']]),Abschreibung[[#This Row],[Abschrei-bungs-zeitraum '[a']]])</calculatedColumnFormula>
    </tableColumn>
    <tableColumn id="4" xr3:uid="{00000000-0010-0000-0100-000004000000}" name="Annuitäten-faktor [1/a]" dataDxfId="30">
      <calculatedColumnFormula>IF(Abschreibung[[#This Row],[Abschrei-bungs-zeitraum '[a']]]="∞",0.017,(Parameter!$J$121*(1+Parameter!$J$121)^Abschreibung[[#This Row],[Rechenwert '[a']]])/((1+Parameter!$J$121)^Abschreibung[[#This Row],[Rechenwert '[a']]]-1))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AnlagenTyp" displayName="AnlagenTyp" ref="E134:G142" totalsRowShown="0" headerRowDxfId="29" dataDxfId="28">
  <autoFilter ref="E134:G142" xr:uid="{00000000-0009-0000-0100-000001000000}"/>
  <tableColumns count="3">
    <tableColumn id="1" xr3:uid="{00000000-0010-0000-0200-000001000000}" name="Kürzel" dataDxfId="27"/>
    <tableColumn id="2" xr3:uid="{00000000-0010-0000-0200-000002000000}" name="Beschreibung" dataDxfId="26"/>
    <tableColumn id="3" xr3:uid="{00000000-0010-0000-0200-000003000000}" name="Bewirtschaftet" dataDxfId="2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D6BBD5-B698-438A-96BA-0F0309322BC6}" name="Tabelle6" displayName="Tabelle6" ref="E144:E161" totalsRowShown="0" headerRowDxfId="24" dataDxfId="23">
  <autoFilter ref="E144:E161" xr:uid="{AE54E031-BCE4-4E37-902F-778BC4190E37}"/>
  <tableColumns count="1">
    <tableColumn id="1" xr3:uid="{03F9D474-7463-440B-8133-77ABDF1877AB}" name="Faktor monetärer Nutzen bei telematischem Parken" dataDxfId="2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993B53-4384-4B9C-9900-4B51E4256333}" name="Tabelle2" displayName="Tabelle2" ref="B89:E94" totalsRowShown="0" headerRowDxfId="7" dataDxfId="5" headerRowBorderDxfId="6" tableBorderDxfId="4">
  <autoFilter ref="B89:E94" xr:uid="{B3D869E6-B60C-429B-B5D5-056C3D9FA322}"/>
  <tableColumns count="4">
    <tableColumn id="1" xr3:uid="{314F4729-C7D0-4F8F-898C-A3E8A0556F8A}" name="Prüfbedingungen" dataDxfId="3"/>
    <tableColumn id="2" xr3:uid="{107E4323-5E9B-456C-A67A-E967B9F1ADAF}" name="Voraussetzung" dataDxfId="2"/>
    <tableColumn id="3" xr3:uid="{4C89B896-94D8-4111-8D89-3B91F5103165}" name="Schlussfolgerung" dataDxfId="1"/>
    <tableColumn id="4" xr3:uid="{8D6A1190-D001-4CBD-A27D-444DB0333703}" name="Zusammenfassung" dataDxfId="0">
      <calculatedColumnFormula>_xlfn.TEXTJOIN(" | ",TRUE,B90:D90)</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ED196-1FC2-4618-841F-12E370CC3C2C}">
  <sheetPr codeName="Tabelle2">
    <tabColor theme="0" tint="-0.14999847407452621"/>
  </sheetPr>
  <dimension ref="A1:AD105"/>
  <sheetViews>
    <sheetView showGridLines="0" tabSelected="1" zoomScale="80" zoomScaleNormal="80" workbookViewId="0">
      <selection activeCell="A4" sqref="A4"/>
    </sheetView>
  </sheetViews>
  <sheetFormatPr baseColWidth="10" defaultColWidth="11.5546875" defaultRowHeight="16.8" outlineLevelRow="1" x14ac:dyDescent="0.4"/>
  <cols>
    <col min="1" max="1" width="17.6640625" style="4" customWidth="1"/>
    <col min="2" max="2" width="179.33203125" style="9" customWidth="1"/>
    <col min="3" max="16384" width="11.5546875" style="4"/>
  </cols>
  <sheetData>
    <row r="1" spans="1:30" s="1" customFormat="1" ht="27" x14ac:dyDescent="0.4">
      <c r="A1" s="63" t="s">
        <v>500</v>
      </c>
      <c r="B1" s="13"/>
      <c r="C1" s="8"/>
      <c r="D1" s="8"/>
      <c r="E1" s="8"/>
      <c r="F1" s="8"/>
      <c r="G1" s="8"/>
      <c r="H1" s="8"/>
      <c r="I1" s="8"/>
      <c r="J1" s="8"/>
      <c r="K1" s="8"/>
      <c r="L1" s="8"/>
      <c r="M1" s="8"/>
      <c r="N1" s="8"/>
      <c r="P1" s="2"/>
      <c r="Q1" s="2"/>
      <c r="R1" s="2"/>
      <c r="S1" s="2"/>
      <c r="T1" s="2"/>
      <c r="U1" s="2"/>
      <c r="V1" s="2"/>
      <c r="W1" s="2"/>
      <c r="X1" s="2"/>
      <c r="Y1" s="2"/>
      <c r="Z1" s="2"/>
      <c r="AA1" s="2"/>
      <c r="AB1" s="2"/>
      <c r="AC1" s="2"/>
      <c r="AD1" s="2"/>
    </row>
    <row r="2" spans="1:30" s="1" customFormat="1" ht="18.600000000000001" x14ac:dyDescent="0.3">
      <c r="A2" s="270" t="s">
        <v>483</v>
      </c>
      <c r="B2" s="11"/>
      <c r="C2" s="8"/>
      <c r="D2" s="8"/>
      <c r="E2" s="8"/>
      <c r="F2" s="8"/>
      <c r="G2" s="8"/>
      <c r="H2" s="8"/>
      <c r="I2" s="8"/>
      <c r="J2" s="8"/>
      <c r="K2" s="8"/>
      <c r="L2" s="8"/>
      <c r="M2" s="8"/>
      <c r="N2" s="8"/>
      <c r="P2" s="2"/>
      <c r="Q2" s="2"/>
      <c r="R2" s="2"/>
      <c r="S2" s="2"/>
      <c r="T2" s="2"/>
      <c r="U2" s="2"/>
      <c r="V2" s="2"/>
      <c r="W2" s="2"/>
      <c r="X2" s="2"/>
      <c r="Y2" s="2"/>
      <c r="Z2" s="2"/>
      <c r="AA2" s="2"/>
      <c r="AB2" s="2"/>
      <c r="AC2" s="2"/>
      <c r="AD2" s="2"/>
    </row>
    <row r="3" spans="1:30" x14ac:dyDescent="0.4">
      <c r="A3" s="12"/>
      <c r="B3" s="13"/>
    </row>
    <row r="4" spans="1:30" ht="17.399999999999999" thickBot="1" x14ac:dyDescent="0.45">
      <c r="A4" s="12"/>
    </row>
    <row r="5" spans="1:30" ht="17.399999999999999" thickTop="1" x14ac:dyDescent="0.4">
      <c r="A5" s="21"/>
      <c r="B5" s="29"/>
    </row>
    <row r="6" spans="1:30" x14ac:dyDescent="0.4">
      <c r="A6" s="37"/>
      <c r="B6" s="14" t="s">
        <v>465</v>
      </c>
    </row>
    <row r="7" spans="1:30" x14ac:dyDescent="0.4">
      <c r="A7" s="18"/>
      <c r="B7" s="14" t="s">
        <v>527</v>
      </c>
    </row>
    <row r="8" spans="1:30" x14ac:dyDescent="0.4">
      <c r="A8" s="18"/>
      <c r="B8" s="14" t="s">
        <v>528</v>
      </c>
    </row>
    <row r="9" spans="1:30" hidden="1" outlineLevel="1" x14ac:dyDescent="0.4">
      <c r="A9" s="18"/>
      <c r="B9" s="54" t="s">
        <v>552</v>
      </c>
    </row>
    <row r="10" spans="1:30" hidden="1" outlineLevel="1" x14ac:dyDescent="0.4">
      <c r="A10" s="18"/>
      <c r="B10" s="54" t="s">
        <v>529</v>
      </c>
    </row>
    <row r="11" spans="1:30" collapsed="1" x14ac:dyDescent="0.4">
      <c r="A11" s="18"/>
      <c r="B11" s="14"/>
    </row>
    <row r="12" spans="1:30" x14ac:dyDescent="0.4">
      <c r="A12" s="40" t="s">
        <v>466</v>
      </c>
      <c r="B12" s="14" t="s">
        <v>554</v>
      </c>
    </row>
    <row r="13" spans="1:30" x14ac:dyDescent="0.4">
      <c r="A13" s="40" t="s">
        <v>467</v>
      </c>
      <c r="B13" s="14" t="s">
        <v>553</v>
      </c>
    </row>
    <row r="14" spans="1:30" x14ac:dyDescent="0.4">
      <c r="A14" s="18"/>
      <c r="B14" s="14"/>
    </row>
    <row r="15" spans="1:30" x14ac:dyDescent="0.4">
      <c r="A15" s="18"/>
      <c r="B15" s="14" t="s">
        <v>457</v>
      </c>
    </row>
    <row r="16" spans="1:30" x14ac:dyDescent="0.4">
      <c r="A16" s="18"/>
      <c r="B16" s="14" t="s">
        <v>458</v>
      </c>
    </row>
    <row r="17" spans="1:2" x14ac:dyDescent="0.4">
      <c r="A17" s="18"/>
      <c r="B17" s="14" t="s">
        <v>459</v>
      </c>
    </row>
    <row r="18" spans="1:2" x14ac:dyDescent="0.4">
      <c r="A18" s="18"/>
      <c r="B18" s="14" t="s">
        <v>460</v>
      </c>
    </row>
    <row r="19" spans="1:2" x14ac:dyDescent="0.4">
      <c r="A19" s="18"/>
      <c r="B19" s="14" t="s">
        <v>461</v>
      </c>
    </row>
    <row r="20" spans="1:2" x14ac:dyDescent="0.4">
      <c r="A20" s="18"/>
      <c r="B20" s="14"/>
    </row>
    <row r="21" spans="1:2" hidden="1" outlineLevel="1" x14ac:dyDescent="0.4">
      <c r="A21" s="18"/>
      <c r="B21" s="54" t="s">
        <v>552</v>
      </c>
    </row>
    <row r="22" spans="1:2" hidden="1" outlineLevel="1" x14ac:dyDescent="0.4">
      <c r="A22" s="18"/>
      <c r="B22" s="24" t="s">
        <v>462</v>
      </c>
    </row>
    <row r="23" spans="1:2" hidden="1" outlineLevel="1" x14ac:dyDescent="0.4">
      <c r="A23" s="18"/>
      <c r="B23" s="24" t="s">
        <v>463</v>
      </c>
    </row>
    <row r="24" spans="1:2" hidden="1" outlineLevel="1" x14ac:dyDescent="0.4">
      <c r="A24" s="18"/>
      <c r="B24" s="24" t="s">
        <v>464</v>
      </c>
    </row>
    <row r="25" spans="1:2" hidden="1" outlineLevel="1" x14ac:dyDescent="0.4">
      <c r="A25" s="18"/>
      <c r="B25" s="24"/>
    </row>
    <row r="26" spans="1:2" collapsed="1" x14ac:dyDescent="0.4">
      <c r="A26" s="18"/>
      <c r="B26" s="14" t="s">
        <v>501</v>
      </c>
    </row>
    <row r="27" spans="1:2" ht="17.399999999999999" thickBot="1" x14ac:dyDescent="0.45">
      <c r="A27" s="16"/>
      <c r="B27" s="28"/>
    </row>
    <row r="28" spans="1:2" ht="18" thickTop="1" thickBot="1" x14ac:dyDescent="0.45">
      <c r="A28" s="485"/>
      <c r="B28" s="41"/>
    </row>
    <row r="29" spans="1:2" ht="17.399999999999999" thickTop="1" x14ac:dyDescent="0.4">
      <c r="A29" s="17"/>
      <c r="B29" s="29"/>
    </row>
    <row r="30" spans="1:2" x14ac:dyDescent="0.4">
      <c r="A30" s="40" t="s">
        <v>479</v>
      </c>
      <c r="B30" s="41" t="s">
        <v>481</v>
      </c>
    </row>
    <row r="31" spans="1:2" x14ac:dyDescent="0.4">
      <c r="A31" s="40" t="s">
        <v>480</v>
      </c>
      <c r="B31" s="41"/>
    </row>
    <row r="32" spans="1:2" x14ac:dyDescent="0.4">
      <c r="A32" s="18"/>
      <c r="B32" s="41" t="s">
        <v>502</v>
      </c>
    </row>
    <row r="33" spans="1:2" ht="18" customHeight="1" thickBot="1" x14ac:dyDescent="0.45">
      <c r="A33" s="16"/>
      <c r="B33" s="20"/>
    </row>
    <row r="34" spans="1:2" ht="18" customHeight="1" thickTop="1" thickBot="1" x14ac:dyDescent="0.45">
      <c r="A34" s="485"/>
      <c r="B34" s="14"/>
    </row>
    <row r="35" spans="1:2" ht="18" customHeight="1" thickTop="1" x14ac:dyDescent="0.4">
      <c r="A35" s="42"/>
      <c r="B35" s="22"/>
    </row>
    <row r="36" spans="1:2" ht="18" customHeight="1" x14ac:dyDescent="0.4">
      <c r="A36" s="48" t="s">
        <v>542</v>
      </c>
      <c r="B36" s="41" t="s">
        <v>545</v>
      </c>
    </row>
    <row r="37" spans="1:2" ht="18" customHeight="1" x14ac:dyDescent="0.4">
      <c r="A37" s="43"/>
      <c r="B37" s="41"/>
    </row>
    <row r="38" spans="1:2" ht="18" customHeight="1" x14ac:dyDescent="0.4">
      <c r="A38" s="43"/>
      <c r="B38" s="14" t="s">
        <v>544</v>
      </c>
    </row>
    <row r="39" spans="1:2" ht="18" customHeight="1" thickBot="1" x14ac:dyDescent="0.45">
      <c r="A39" s="47"/>
      <c r="B39" s="20"/>
    </row>
    <row r="40" spans="1:2" ht="18" thickTop="1" thickBot="1" x14ac:dyDescent="0.45">
      <c r="A40" s="485"/>
      <c r="B40" s="28"/>
    </row>
    <row r="41" spans="1:2" ht="18" customHeight="1" thickTop="1" x14ac:dyDescent="0.4">
      <c r="A41" s="42"/>
      <c r="B41" s="22" t="s">
        <v>477</v>
      </c>
    </row>
    <row r="42" spans="1:2" x14ac:dyDescent="0.4">
      <c r="A42" s="43"/>
      <c r="B42" s="46" t="s">
        <v>475</v>
      </c>
    </row>
    <row r="43" spans="1:2" x14ac:dyDescent="0.4">
      <c r="A43" s="43"/>
      <c r="B43" s="14" t="s">
        <v>478</v>
      </c>
    </row>
    <row r="44" spans="1:2" x14ac:dyDescent="0.4">
      <c r="A44" s="43"/>
      <c r="B44" s="14"/>
    </row>
    <row r="45" spans="1:2" x14ac:dyDescent="0.4">
      <c r="A45" s="43"/>
      <c r="B45" s="14" t="s">
        <v>503</v>
      </c>
    </row>
    <row r="46" spans="1:2" x14ac:dyDescent="0.4">
      <c r="A46" s="48" t="s">
        <v>353</v>
      </c>
      <c r="B46" s="14" t="s">
        <v>507</v>
      </c>
    </row>
    <row r="47" spans="1:2" x14ac:dyDescent="0.4">
      <c r="A47" s="43"/>
      <c r="B47" s="14" t="s">
        <v>506</v>
      </c>
    </row>
    <row r="48" spans="1:2" x14ac:dyDescent="0.4">
      <c r="A48" s="43"/>
      <c r="B48" s="14" t="s">
        <v>504</v>
      </c>
    </row>
    <row r="49" spans="1:2" x14ac:dyDescent="0.4">
      <c r="A49" s="43"/>
      <c r="B49" s="14" t="s">
        <v>505</v>
      </c>
    </row>
    <row r="50" spans="1:2" x14ac:dyDescent="0.4">
      <c r="A50" s="43"/>
      <c r="B50" s="14"/>
    </row>
    <row r="51" spans="1:2" x14ac:dyDescent="0.4">
      <c r="A51" s="43"/>
      <c r="B51" s="14" t="s">
        <v>508</v>
      </c>
    </row>
    <row r="52" spans="1:2" ht="33.6" x14ac:dyDescent="0.4">
      <c r="A52" s="43"/>
      <c r="B52" s="14" t="s">
        <v>509</v>
      </c>
    </row>
    <row r="53" spans="1:2" x14ac:dyDescent="0.4">
      <c r="A53" s="43"/>
      <c r="B53" s="14" t="s">
        <v>510</v>
      </c>
    </row>
    <row r="54" spans="1:2" x14ac:dyDescent="0.4">
      <c r="A54" s="43"/>
      <c r="B54" s="14"/>
    </row>
    <row r="55" spans="1:2" x14ac:dyDescent="0.4">
      <c r="A55" s="43"/>
      <c r="B55" s="46" t="s">
        <v>476</v>
      </c>
    </row>
    <row r="56" spans="1:2" x14ac:dyDescent="0.4">
      <c r="A56" s="48"/>
      <c r="B56" s="14" t="s">
        <v>511</v>
      </c>
    </row>
    <row r="57" spans="1:2" ht="18" customHeight="1" x14ac:dyDescent="0.4">
      <c r="A57" s="43"/>
      <c r="B57" s="14" t="s">
        <v>526</v>
      </c>
    </row>
    <row r="58" spans="1:2" x14ac:dyDescent="0.4">
      <c r="A58" s="43"/>
      <c r="B58" s="14" t="s">
        <v>512</v>
      </c>
    </row>
    <row r="59" spans="1:2" x14ac:dyDescent="0.4">
      <c r="A59" s="43"/>
      <c r="B59" s="14" t="s">
        <v>517</v>
      </c>
    </row>
    <row r="60" spans="1:2" x14ac:dyDescent="0.4">
      <c r="A60" s="43"/>
      <c r="B60" s="463" t="s">
        <v>516</v>
      </c>
    </row>
    <row r="61" spans="1:2" x14ac:dyDescent="0.4">
      <c r="A61" s="43"/>
      <c r="B61" s="14" t="s">
        <v>513</v>
      </c>
    </row>
    <row r="62" spans="1:2" hidden="1" outlineLevel="1" x14ac:dyDescent="0.4">
      <c r="A62" s="43"/>
      <c r="B62" s="24" t="s">
        <v>530</v>
      </c>
    </row>
    <row r="63" spans="1:2" hidden="1" outlineLevel="1" x14ac:dyDescent="0.4">
      <c r="A63" s="43"/>
      <c r="B63" s="24" t="s">
        <v>531</v>
      </c>
    </row>
    <row r="64" spans="1:2" ht="18" hidden="1" customHeight="1" outlineLevel="1" x14ac:dyDescent="0.4">
      <c r="A64" s="43"/>
      <c r="B64" s="484" t="s">
        <v>532</v>
      </c>
    </row>
    <row r="65" spans="1:2" collapsed="1" x14ac:dyDescent="0.4">
      <c r="A65" s="43"/>
      <c r="B65" s="44" t="s">
        <v>533</v>
      </c>
    </row>
    <row r="66" spans="1:2" ht="17.399999999999999" thickBot="1" x14ac:dyDescent="0.45">
      <c r="A66" s="47"/>
      <c r="B66" s="45"/>
    </row>
    <row r="67" spans="1:2" ht="18" thickTop="1" thickBot="1" x14ac:dyDescent="0.45">
      <c r="A67" s="485"/>
      <c r="B67" s="14"/>
    </row>
    <row r="68" spans="1:2" ht="17.399999999999999" thickTop="1" x14ac:dyDescent="0.4">
      <c r="A68" s="30"/>
      <c r="B68" s="29"/>
    </row>
    <row r="69" spans="1:2" ht="18" customHeight="1" x14ac:dyDescent="0.4">
      <c r="A69" s="31"/>
      <c r="B69" s="480" t="s">
        <v>535</v>
      </c>
    </row>
    <row r="70" spans="1:2" ht="18" customHeight="1" x14ac:dyDescent="0.4">
      <c r="A70" s="31"/>
      <c r="B70" s="480" t="s">
        <v>536</v>
      </c>
    </row>
    <row r="71" spans="1:2" x14ac:dyDescent="0.4">
      <c r="A71" s="31"/>
      <c r="B71" s="14"/>
    </row>
    <row r="72" spans="1:2" ht="33.6" x14ac:dyDescent="0.4">
      <c r="A72" s="36" t="s">
        <v>115</v>
      </c>
      <c r="B72" s="14" t="s">
        <v>534</v>
      </c>
    </row>
    <row r="73" spans="1:2" x14ac:dyDescent="0.4">
      <c r="A73" s="32"/>
      <c r="B73" s="14"/>
    </row>
    <row r="74" spans="1:2" ht="33.6" x14ac:dyDescent="0.4">
      <c r="A74" s="32"/>
      <c r="B74" s="14" t="s">
        <v>537</v>
      </c>
    </row>
    <row r="75" spans="1:2" ht="17.399999999999999" thickBot="1" x14ac:dyDescent="0.45">
      <c r="A75" s="19"/>
      <c r="B75" s="28"/>
    </row>
    <row r="76" spans="1:2" ht="18" hidden="1" outlineLevel="1" thickTop="1" thickBot="1" x14ac:dyDescent="0.45">
      <c r="A76" s="485"/>
      <c r="B76" s="14"/>
    </row>
    <row r="77" spans="1:2" ht="17.399999999999999" hidden="1" outlineLevel="1" thickTop="1" x14ac:dyDescent="0.4">
      <c r="A77" s="49"/>
      <c r="B77" s="491" t="s">
        <v>538</v>
      </c>
    </row>
    <row r="78" spans="1:2" hidden="1" outlineLevel="1" x14ac:dyDescent="0.4">
      <c r="A78" s="52" t="s">
        <v>407</v>
      </c>
      <c r="B78" s="24" t="s">
        <v>549</v>
      </c>
    </row>
    <row r="79" spans="1:2" hidden="1" outlineLevel="1" x14ac:dyDescent="0.4">
      <c r="A79" s="52"/>
      <c r="B79" s="24"/>
    </row>
    <row r="80" spans="1:2" hidden="1" outlineLevel="1" x14ac:dyDescent="0.4">
      <c r="A80" s="52"/>
      <c r="B80" s="24" t="s">
        <v>539</v>
      </c>
    </row>
    <row r="81" spans="1:2" ht="17.399999999999999" hidden="1" outlineLevel="1" thickBot="1" x14ac:dyDescent="0.45">
      <c r="A81" s="38"/>
      <c r="B81" s="492"/>
    </row>
    <row r="82" spans="1:2" ht="18" hidden="1" customHeight="1" outlineLevel="1" thickTop="1" thickBot="1" x14ac:dyDescent="0.45">
      <c r="A82" s="486"/>
      <c r="B82" s="461" t="s">
        <v>468</v>
      </c>
    </row>
    <row r="83" spans="1:2" ht="18" hidden="1" customHeight="1" outlineLevel="1" thickTop="1" x14ac:dyDescent="0.4">
      <c r="A83" s="50"/>
      <c r="B83" s="491" t="s">
        <v>538</v>
      </c>
    </row>
    <row r="84" spans="1:2" ht="33.6" hidden="1" outlineLevel="1" x14ac:dyDescent="0.4">
      <c r="A84" s="51" t="s">
        <v>469</v>
      </c>
      <c r="B84" s="24" t="s">
        <v>550</v>
      </c>
    </row>
    <row r="85" spans="1:2" hidden="1" outlineLevel="1" x14ac:dyDescent="0.4">
      <c r="A85" s="51"/>
      <c r="B85" s="24"/>
    </row>
    <row r="86" spans="1:2" hidden="1" outlineLevel="1" x14ac:dyDescent="0.4">
      <c r="A86" s="51"/>
      <c r="B86" s="24" t="s">
        <v>540</v>
      </c>
    </row>
    <row r="87" spans="1:2" ht="17.399999999999999" hidden="1" outlineLevel="1" thickBot="1" x14ac:dyDescent="0.45">
      <c r="A87" s="39"/>
      <c r="B87" s="492"/>
    </row>
    <row r="88" spans="1:2" ht="18" hidden="1" outlineLevel="1" thickTop="1" thickBot="1" x14ac:dyDescent="0.45">
      <c r="A88" s="23"/>
      <c r="B88" s="14"/>
    </row>
    <row r="89" spans="1:2" ht="17.399999999999999" hidden="1" outlineLevel="1" thickTop="1" x14ac:dyDescent="0.4">
      <c r="A89" s="49"/>
      <c r="B89" s="491" t="s">
        <v>538</v>
      </c>
    </row>
    <row r="90" spans="1:2" hidden="1" outlineLevel="1" x14ac:dyDescent="0.4">
      <c r="A90" s="52" t="s">
        <v>449</v>
      </c>
      <c r="B90" s="24" t="s">
        <v>551</v>
      </c>
    </row>
    <row r="91" spans="1:2" ht="17.399999999999999" hidden="1" outlineLevel="1" thickBot="1" x14ac:dyDescent="0.45">
      <c r="A91" s="53"/>
      <c r="B91" s="492"/>
    </row>
    <row r="92" spans="1:2" ht="18" collapsed="1" thickTop="1" thickBot="1" x14ac:dyDescent="0.45">
      <c r="A92" s="23"/>
      <c r="B92" s="14"/>
    </row>
    <row r="93" spans="1:2" ht="17.399999999999999" thickTop="1" x14ac:dyDescent="0.4">
      <c r="A93" s="33"/>
      <c r="B93" s="25" t="s">
        <v>470</v>
      </c>
    </row>
    <row r="94" spans="1:2" x14ac:dyDescent="0.4">
      <c r="A94" s="34"/>
      <c r="B94" s="26"/>
    </row>
    <row r="95" spans="1:2" x14ac:dyDescent="0.4">
      <c r="A95" s="34" t="s">
        <v>473</v>
      </c>
      <c r="B95" s="26" t="s">
        <v>471</v>
      </c>
    </row>
    <row r="96" spans="1:2" x14ac:dyDescent="0.4">
      <c r="A96" s="34" t="s">
        <v>474</v>
      </c>
      <c r="B96" s="460" t="s">
        <v>547</v>
      </c>
    </row>
    <row r="97" spans="1:2" x14ac:dyDescent="0.4">
      <c r="A97" s="34"/>
      <c r="B97" s="26" t="s">
        <v>548</v>
      </c>
    </row>
    <row r="98" spans="1:2" s="483" customFormat="1" ht="16.2" x14ac:dyDescent="0.35">
      <c r="A98" s="481"/>
      <c r="B98" s="482"/>
    </row>
    <row r="99" spans="1:2" x14ac:dyDescent="0.4">
      <c r="A99" s="34"/>
      <c r="B99" s="26" t="s">
        <v>546</v>
      </c>
    </row>
    <row r="100" spans="1:2" x14ac:dyDescent="0.4">
      <c r="A100" s="34"/>
      <c r="B100" s="26" t="s">
        <v>514</v>
      </c>
    </row>
    <row r="101" spans="1:2" x14ac:dyDescent="0.4">
      <c r="A101" s="34"/>
      <c r="B101" s="26" t="s">
        <v>515</v>
      </c>
    </row>
    <row r="102" spans="1:2" x14ac:dyDescent="0.4">
      <c r="A102" s="34"/>
      <c r="B102" s="26"/>
    </row>
    <row r="103" spans="1:2" x14ac:dyDescent="0.4">
      <c r="A103" s="34"/>
      <c r="B103" s="26" t="s">
        <v>472</v>
      </c>
    </row>
    <row r="104" spans="1:2" ht="17.399999999999999" thickBot="1" x14ac:dyDescent="0.45">
      <c r="A104" s="35"/>
      <c r="B104" s="27"/>
    </row>
    <row r="105" spans="1:2" ht="17.399999999999999" thickTop="1" x14ac:dyDescent="0.4"/>
  </sheetData>
  <sheetProtection algorithmName="SHA-512" hashValue="adJguOGtb9N2oacnv0Jzz9Rsrfx9YzAHHx3fcwc7ExVWk/BZNwDZtbl1cjfc/GomcgLGc70dFzUmRo9NVn9iVg==" saltValue="1BiV8F0ZMKvl1+vdaAYrZw==" spinCount="100000" sheet="1" objects="1" scenarios="1"/>
  <pageMargins left="0.7" right="0.7" top="0.78740157499999996" bottom="0.78740157499999996"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A08ED-E388-4154-8215-1B9FFDCBABAD}">
  <sheetPr codeName="Tabelle3">
    <tabColor theme="0" tint="-0.14999847407452621"/>
  </sheetPr>
  <dimension ref="A1:AC45"/>
  <sheetViews>
    <sheetView zoomScale="80" zoomScaleNormal="80" workbookViewId="0">
      <pane ySplit="8" topLeftCell="A9" activePane="bottomLeft" state="frozen"/>
      <selection activeCell="C10" sqref="C10"/>
      <selection pane="bottomLeft" activeCell="C10" sqref="C10"/>
    </sheetView>
  </sheetViews>
  <sheetFormatPr baseColWidth="10" defaultColWidth="11.5546875" defaultRowHeight="16.8" x14ac:dyDescent="0.4"/>
  <cols>
    <col min="1" max="1" width="14.5546875" style="4" customWidth="1"/>
    <col min="2" max="2" width="40.88671875" style="4" customWidth="1"/>
    <col min="3" max="3" width="11" style="7" customWidth="1"/>
    <col min="4" max="12" width="11" style="4" customWidth="1"/>
    <col min="13" max="13" width="114.88671875" style="4" customWidth="1"/>
    <col min="14" max="16384" width="11.5546875" style="4"/>
  </cols>
  <sheetData>
    <row r="1" spans="1:29" s="1" customFormat="1" ht="27" x14ac:dyDescent="0.3">
      <c r="A1" s="15" t="s">
        <v>355</v>
      </c>
      <c r="B1" s="56"/>
      <c r="C1" s="56"/>
      <c r="D1" s="56"/>
      <c r="E1" s="56"/>
      <c r="F1" s="56"/>
      <c r="G1" s="56"/>
      <c r="H1" s="56"/>
      <c r="I1" s="56"/>
      <c r="J1" s="56"/>
      <c r="K1" s="56"/>
      <c r="L1" s="56"/>
      <c r="M1" s="274" t="s">
        <v>447</v>
      </c>
      <c r="O1" s="2"/>
      <c r="P1" s="2"/>
      <c r="Q1" s="2"/>
      <c r="R1" s="2"/>
      <c r="S1" s="2"/>
      <c r="T1" s="2"/>
      <c r="U1" s="2"/>
      <c r="V1" s="2"/>
      <c r="W1" s="2"/>
      <c r="X1" s="2"/>
      <c r="Y1" s="2"/>
      <c r="Z1" s="2"/>
      <c r="AA1" s="2"/>
      <c r="AB1" s="2"/>
      <c r="AC1" s="2"/>
    </row>
    <row r="2" spans="1:29" s="1" customFormat="1" ht="27" x14ac:dyDescent="0.3">
      <c r="A2" s="271" t="s">
        <v>360</v>
      </c>
      <c r="B2" s="56"/>
      <c r="C2" s="56"/>
      <c r="D2" s="56"/>
      <c r="E2" s="56"/>
      <c r="F2" s="56"/>
      <c r="G2" s="56"/>
      <c r="H2" s="56"/>
      <c r="I2" s="56"/>
      <c r="J2" s="56"/>
      <c r="K2" s="56"/>
      <c r="L2" s="56"/>
      <c r="M2" s="56"/>
      <c r="O2" s="2"/>
      <c r="P2" s="2"/>
      <c r="Q2" s="2"/>
      <c r="R2" s="2"/>
      <c r="S2" s="2"/>
      <c r="T2" s="2"/>
      <c r="U2" s="2"/>
      <c r="V2" s="2"/>
      <c r="W2" s="2"/>
      <c r="X2" s="2"/>
      <c r="Y2" s="2"/>
      <c r="Z2" s="2"/>
      <c r="AA2" s="2"/>
      <c r="AB2" s="2"/>
      <c r="AC2" s="2"/>
    </row>
    <row r="3" spans="1:29" s="1" customFormat="1" ht="18" customHeight="1" x14ac:dyDescent="0.3">
      <c r="A3" s="15"/>
      <c r="B3" s="15"/>
      <c r="C3" s="15"/>
      <c r="D3" s="15"/>
      <c r="E3" s="15"/>
      <c r="F3" s="15"/>
      <c r="G3" s="15"/>
      <c r="H3" s="15"/>
      <c r="I3" s="15"/>
      <c r="J3" s="15"/>
      <c r="K3" s="15"/>
      <c r="L3" s="15"/>
      <c r="O3" s="2"/>
      <c r="P3" s="2"/>
      <c r="Q3" s="2"/>
      <c r="R3" s="2"/>
      <c r="S3" s="2"/>
      <c r="T3" s="2"/>
      <c r="U3" s="2"/>
      <c r="V3" s="2"/>
      <c r="W3" s="2"/>
      <c r="X3" s="2"/>
      <c r="Y3" s="2"/>
      <c r="Z3" s="2"/>
      <c r="AA3" s="2"/>
      <c r="AB3" s="2"/>
      <c r="AC3" s="2"/>
    </row>
    <row r="4" spans="1:29" s="1" customFormat="1" x14ac:dyDescent="0.3">
      <c r="A4" s="59" t="s">
        <v>482</v>
      </c>
      <c r="B4" s="60"/>
      <c r="C4" s="60"/>
      <c r="D4" s="60"/>
      <c r="E4" s="60"/>
      <c r="F4" s="60"/>
      <c r="G4" s="60"/>
      <c r="H4" s="62"/>
      <c r="I4" s="60"/>
      <c r="J4" s="60"/>
      <c r="K4" s="60"/>
      <c r="L4" s="60"/>
      <c r="M4" s="60"/>
      <c r="O4" s="2"/>
      <c r="P4" s="2"/>
      <c r="Q4" s="2"/>
      <c r="R4" s="2"/>
      <c r="S4" s="2"/>
      <c r="T4" s="2"/>
      <c r="U4" s="2"/>
      <c r="V4" s="2"/>
      <c r="W4" s="2"/>
      <c r="X4" s="2"/>
      <c r="Y4" s="2"/>
      <c r="Z4" s="2"/>
      <c r="AA4" s="2"/>
      <c r="AB4" s="2"/>
      <c r="AC4" s="2"/>
    </row>
    <row r="5" spans="1:29" x14ac:dyDescent="0.4">
      <c r="A5" s="59" t="s">
        <v>365</v>
      </c>
      <c r="B5" s="58"/>
      <c r="C5" s="58"/>
      <c r="D5" s="60"/>
      <c r="E5" s="60"/>
      <c r="F5" s="60"/>
      <c r="G5" s="60"/>
      <c r="H5" s="60"/>
      <c r="I5" s="60"/>
      <c r="J5" s="60"/>
      <c r="K5" s="60"/>
      <c r="L5" s="60"/>
      <c r="M5" s="60"/>
    </row>
    <row r="6" spans="1:29" x14ac:dyDescent="0.4">
      <c r="A6" s="59" t="s">
        <v>366</v>
      </c>
      <c r="B6" s="61"/>
      <c r="C6" s="61"/>
      <c r="D6" s="57"/>
      <c r="E6" s="57"/>
      <c r="F6" s="57"/>
      <c r="G6" s="57"/>
      <c r="H6" s="57"/>
      <c r="I6" s="57"/>
      <c r="J6" s="57"/>
      <c r="K6" s="57"/>
      <c r="L6" s="57"/>
      <c r="M6" s="57"/>
    </row>
    <row r="7" spans="1:29" x14ac:dyDescent="0.4">
      <c r="B7" s="5"/>
      <c r="C7" s="6"/>
    </row>
    <row r="8" spans="1:29" ht="108.75" customHeight="1" x14ac:dyDescent="0.4">
      <c r="A8" s="275" t="s">
        <v>361</v>
      </c>
      <c r="B8" s="275" t="s">
        <v>335</v>
      </c>
      <c r="C8" s="275" t="s">
        <v>295</v>
      </c>
      <c r="D8" s="275" t="s">
        <v>288</v>
      </c>
      <c r="E8" s="275" t="s">
        <v>333</v>
      </c>
      <c r="F8" s="275" t="s">
        <v>292</v>
      </c>
      <c r="G8" s="275" t="s">
        <v>351</v>
      </c>
      <c r="H8" s="275" t="s">
        <v>290</v>
      </c>
      <c r="I8" s="275" t="s">
        <v>289</v>
      </c>
      <c r="J8" s="275" t="s">
        <v>334</v>
      </c>
      <c r="K8" s="275" t="s">
        <v>287</v>
      </c>
      <c r="L8" s="275" t="s">
        <v>294</v>
      </c>
      <c r="M8" s="275" t="s">
        <v>297</v>
      </c>
    </row>
    <row r="9" spans="1:29" x14ac:dyDescent="0.4">
      <c r="A9" s="276">
        <v>1</v>
      </c>
      <c r="B9" s="5" t="s">
        <v>305</v>
      </c>
      <c r="C9" s="6" t="s">
        <v>370</v>
      </c>
      <c r="D9" s="3"/>
      <c r="E9" s="3"/>
      <c r="F9" s="3"/>
      <c r="G9" s="3"/>
      <c r="H9" s="3"/>
      <c r="I9" s="3"/>
      <c r="J9" s="3"/>
      <c r="K9" s="3" t="s">
        <v>293</v>
      </c>
      <c r="L9" s="3"/>
      <c r="M9" s="60" t="s">
        <v>350</v>
      </c>
    </row>
    <row r="10" spans="1:29" x14ac:dyDescent="0.4">
      <c r="A10" s="276">
        <v>2</v>
      </c>
      <c r="B10" s="5" t="s">
        <v>394</v>
      </c>
      <c r="C10" s="6" t="s">
        <v>370</v>
      </c>
      <c r="D10" s="3"/>
      <c r="E10" s="3"/>
      <c r="F10" s="3"/>
      <c r="G10" s="3"/>
      <c r="H10" s="3"/>
      <c r="I10" s="3"/>
      <c r="J10" s="3"/>
      <c r="K10" s="3" t="s">
        <v>293</v>
      </c>
      <c r="L10" s="3"/>
      <c r="M10" s="60" t="s">
        <v>350</v>
      </c>
    </row>
    <row r="11" spans="1:29" x14ac:dyDescent="0.4">
      <c r="A11" s="276">
        <v>3</v>
      </c>
      <c r="B11" s="5" t="s">
        <v>395</v>
      </c>
      <c r="C11" s="6" t="s">
        <v>370</v>
      </c>
      <c r="D11" s="3"/>
      <c r="E11" s="3"/>
      <c r="F11" s="3"/>
      <c r="G11" s="3"/>
      <c r="H11" s="3"/>
      <c r="I11" s="3"/>
      <c r="J11" s="3"/>
      <c r="K11" s="3" t="s">
        <v>293</v>
      </c>
      <c r="L11" s="3"/>
      <c r="M11" s="60" t="s">
        <v>350</v>
      </c>
    </row>
    <row r="12" spans="1:29" x14ac:dyDescent="0.4">
      <c r="A12" s="276">
        <v>4</v>
      </c>
      <c r="B12" s="5" t="s">
        <v>396</v>
      </c>
      <c r="C12" s="6" t="s">
        <v>370</v>
      </c>
      <c r="D12" s="3"/>
      <c r="E12" s="3"/>
      <c r="F12" s="3"/>
      <c r="G12" s="3"/>
      <c r="H12" s="3"/>
      <c r="I12" s="3"/>
      <c r="J12" s="3"/>
      <c r="K12" s="3" t="s">
        <v>293</v>
      </c>
      <c r="L12" s="3"/>
      <c r="M12" s="60" t="s">
        <v>350</v>
      </c>
    </row>
    <row r="13" spans="1:29" x14ac:dyDescent="0.4">
      <c r="A13" s="277" t="s">
        <v>393</v>
      </c>
      <c r="B13" s="5" t="s">
        <v>397</v>
      </c>
      <c r="C13" s="6" t="s">
        <v>370</v>
      </c>
      <c r="D13" s="3"/>
      <c r="E13" s="3"/>
      <c r="F13" s="3"/>
      <c r="G13" s="3"/>
      <c r="H13" s="3"/>
      <c r="I13" s="3"/>
      <c r="J13" s="3"/>
      <c r="K13" s="3" t="s">
        <v>293</v>
      </c>
      <c r="L13" s="3"/>
      <c r="M13" s="60" t="s">
        <v>369</v>
      </c>
    </row>
    <row r="14" spans="1:29" x14ac:dyDescent="0.4">
      <c r="A14" s="276">
        <v>9</v>
      </c>
      <c r="B14" s="5" t="s">
        <v>319</v>
      </c>
      <c r="C14" s="6" t="s">
        <v>370</v>
      </c>
      <c r="D14" s="3"/>
      <c r="E14" s="3"/>
      <c r="F14" s="3"/>
      <c r="G14" s="3"/>
      <c r="H14" s="3"/>
      <c r="I14" s="3"/>
      <c r="J14" s="3"/>
      <c r="K14" s="3" t="s">
        <v>293</v>
      </c>
      <c r="L14" s="3"/>
      <c r="M14" s="60" t="s">
        <v>350</v>
      </c>
    </row>
    <row r="15" spans="1:29" x14ac:dyDescent="0.4">
      <c r="A15" s="276">
        <v>10</v>
      </c>
      <c r="B15" s="5" t="s">
        <v>318</v>
      </c>
      <c r="C15" s="6" t="s">
        <v>370</v>
      </c>
      <c r="D15" s="3"/>
      <c r="E15" s="3"/>
      <c r="F15" s="3"/>
      <c r="G15" s="3"/>
      <c r="H15" s="3"/>
      <c r="I15" s="3"/>
      <c r="J15" s="3"/>
      <c r="K15" s="3" t="s">
        <v>293</v>
      </c>
      <c r="L15" s="3"/>
      <c r="M15" s="60" t="s">
        <v>350</v>
      </c>
    </row>
    <row r="16" spans="1:29" ht="50.4" x14ac:dyDescent="0.4">
      <c r="A16" s="276">
        <v>11</v>
      </c>
      <c r="B16" s="5" t="s">
        <v>320</v>
      </c>
      <c r="C16" s="6" t="s">
        <v>370</v>
      </c>
      <c r="D16" s="3"/>
      <c r="E16" s="3" t="s">
        <v>293</v>
      </c>
      <c r="F16" s="3" t="s">
        <v>293</v>
      </c>
      <c r="G16" s="3" t="s">
        <v>293</v>
      </c>
      <c r="H16" s="3"/>
      <c r="I16" s="3"/>
      <c r="J16" s="3"/>
      <c r="K16" s="3"/>
      <c r="L16" s="3"/>
      <c r="M16" s="278" t="s">
        <v>336</v>
      </c>
    </row>
    <row r="17" spans="1:13" x14ac:dyDescent="0.4">
      <c r="A17" s="276">
        <v>12</v>
      </c>
      <c r="B17" s="5" t="s">
        <v>307</v>
      </c>
      <c r="C17" s="6" t="s">
        <v>370</v>
      </c>
      <c r="D17" s="3"/>
      <c r="E17" s="3"/>
      <c r="F17" s="3"/>
      <c r="G17" s="3"/>
      <c r="H17" s="3"/>
      <c r="I17" s="3"/>
      <c r="J17" s="3"/>
      <c r="K17" s="3" t="s">
        <v>293</v>
      </c>
      <c r="L17" s="3"/>
      <c r="M17" s="60" t="s">
        <v>337</v>
      </c>
    </row>
    <row r="18" spans="1:13" x14ac:dyDescent="0.4">
      <c r="A18" s="276">
        <v>13</v>
      </c>
      <c r="B18" s="5" t="s">
        <v>306</v>
      </c>
      <c r="C18" s="6" t="s">
        <v>370</v>
      </c>
      <c r="D18" s="3"/>
      <c r="E18" s="3"/>
      <c r="F18" s="3"/>
      <c r="G18" s="3"/>
      <c r="H18" s="3"/>
      <c r="I18" s="3"/>
      <c r="J18" s="3"/>
      <c r="K18" s="3" t="s">
        <v>293</v>
      </c>
      <c r="L18" s="3"/>
      <c r="M18" s="60" t="s">
        <v>337</v>
      </c>
    </row>
    <row r="19" spans="1:13" x14ac:dyDescent="0.4">
      <c r="A19" s="276">
        <v>14</v>
      </c>
      <c r="B19" s="5" t="s">
        <v>321</v>
      </c>
      <c r="C19" s="6" t="s">
        <v>370</v>
      </c>
      <c r="D19" s="3"/>
      <c r="E19" s="3" t="s">
        <v>293</v>
      </c>
      <c r="F19" s="3"/>
      <c r="G19" s="3"/>
      <c r="H19" s="3"/>
      <c r="I19" s="3"/>
      <c r="J19" s="3"/>
      <c r="K19" s="3"/>
      <c r="L19" s="3"/>
      <c r="M19" s="60" t="s">
        <v>337</v>
      </c>
    </row>
    <row r="20" spans="1:13" x14ac:dyDescent="0.4">
      <c r="A20" s="276">
        <v>15</v>
      </c>
      <c r="B20" s="5" t="s">
        <v>308</v>
      </c>
      <c r="C20" s="6"/>
      <c r="D20" s="3" t="s">
        <v>293</v>
      </c>
      <c r="E20" s="3" t="s">
        <v>293</v>
      </c>
      <c r="F20" s="3" t="s">
        <v>293</v>
      </c>
      <c r="G20" s="3"/>
      <c r="H20" s="3"/>
      <c r="I20" s="3"/>
      <c r="J20" s="3"/>
      <c r="K20" s="3"/>
      <c r="L20" s="3"/>
      <c r="M20" s="60" t="s">
        <v>371</v>
      </c>
    </row>
    <row r="21" spans="1:13" x14ac:dyDescent="0.4">
      <c r="A21" s="276">
        <v>16</v>
      </c>
      <c r="B21" s="5" t="s">
        <v>309</v>
      </c>
      <c r="C21" s="6"/>
      <c r="D21" s="3" t="s">
        <v>293</v>
      </c>
      <c r="E21" s="3" t="s">
        <v>293</v>
      </c>
      <c r="F21" s="3" t="s">
        <v>293</v>
      </c>
      <c r="G21" s="3" t="s">
        <v>293</v>
      </c>
      <c r="H21" s="3" t="s">
        <v>293</v>
      </c>
      <c r="I21" s="3" t="s">
        <v>293</v>
      </c>
      <c r="J21" s="3"/>
      <c r="K21" s="3"/>
      <c r="L21" s="3"/>
      <c r="M21" s="278" t="s">
        <v>401</v>
      </c>
    </row>
    <row r="22" spans="1:13" ht="50.4" x14ac:dyDescent="0.4">
      <c r="A22" s="276">
        <v>17</v>
      </c>
      <c r="B22" s="5" t="s">
        <v>311</v>
      </c>
      <c r="C22" s="6" t="s">
        <v>370</v>
      </c>
      <c r="D22" s="3"/>
      <c r="E22" s="3"/>
      <c r="F22" s="3" t="s">
        <v>293</v>
      </c>
      <c r="G22" s="3" t="s">
        <v>293</v>
      </c>
      <c r="H22" s="3"/>
      <c r="I22" s="3"/>
      <c r="J22" s="3"/>
      <c r="K22" s="3"/>
      <c r="L22" s="3"/>
      <c r="M22" s="278" t="s">
        <v>338</v>
      </c>
    </row>
    <row r="23" spans="1:13" ht="33.6" x14ac:dyDescent="0.4">
      <c r="A23" s="276">
        <v>18</v>
      </c>
      <c r="B23" s="5" t="s">
        <v>310</v>
      </c>
      <c r="C23" s="6" t="s">
        <v>293</v>
      </c>
      <c r="D23" s="3"/>
      <c r="E23" s="3" t="s">
        <v>293</v>
      </c>
      <c r="F23" s="3"/>
      <c r="G23" s="3"/>
      <c r="H23" s="3"/>
      <c r="I23" s="3"/>
      <c r="J23" s="3"/>
      <c r="K23" s="3"/>
      <c r="L23" s="3"/>
      <c r="M23" s="278" t="s">
        <v>402</v>
      </c>
    </row>
    <row r="24" spans="1:13" ht="33.6" x14ac:dyDescent="0.4">
      <c r="A24" s="276">
        <v>19</v>
      </c>
      <c r="B24" s="5" t="s">
        <v>398</v>
      </c>
      <c r="C24" s="6" t="s">
        <v>293</v>
      </c>
      <c r="D24" s="3"/>
      <c r="E24" s="3" t="s">
        <v>293</v>
      </c>
      <c r="F24" s="3"/>
      <c r="G24" s="3"/>
      <c r="H24" s="3"/>
      <c r="I24" s="3" t="s">
        <v>293</v>
      </c>
      <c r="J24" s="3"/>
      <c r="K24" s="3"/>
      <c r="L24" s="3"/>
      <c r="M24" s="278" t="s">
        <v>339</v>
      </c>
    </row>
    <row r="25" spans="1:13" x14ac:dyDescent="0.4">
      <c r="A25" s="276">
        <v>20</v>
      </c>
      <c r="B25" s="5" t="s">
        <v>312</v>
      </c>
      <c r="C25" s="6" t="s">
        <v>370</v>
      </c>
      <c r="D25" s="3"/>
      <c r="E25" s="3"/>
      <c r="F25" s="3"/>
      <c r="G25" s="3"/>
      <c r="H25" s="3"/>
      <c r="I25" s="3"/>
      <c r="J25" s="3"/>
      <c r="K25" s="3"/>
      <c r="L25" s="3"/>
      <c r="M25" s="279" t="s">
        <v>403</v>
      </c>
    </row>
    <row r="26" spans="1:13" ht="50.4" x14ac:dyDescent="0.4">
      <c r="A26" s="276">
        <v>21</v>
      </c>
      <c r="B26" s="5" t="s">
        <v>313</v>
      </c>
      <c r="C26" s="6" t="s">
        <v>370</v>
      </c>
      <c r="D26" s="3"/>
      <c r="E26" s="3" t="s">
        <v>293</v>
      </c>
      <c r="F26" s="3" t="s">
        <v>293</v>
      </c>
      <c r="G26" s="3" t="s">
        <v>293</v>
      </c>
      <c r="H26" s="3"/>
      <c r="I26" s="3"/>
      <c r="J26" s="3"/>
      <c r="K26" s="3"/>
      <c r="L26" s="3"/>
      <c r="M26" s="278" t="s">
        <v>352</v>
      </c>
    </row>
    <row r="27" spans="1:13" x14ac:dyDescent="0.4">
      <c r="A27" s="276">
        <v>22</v>
      </c>
      <c r="B27" s="5" t="s">
        <v>296</v>
      </c>
      <c r="C27" s="6" t="s">
        <v>293</v>
      </c>
      <c r="D27" s="3"/>
      <c r="E27" s="3"/>
      <c r="F27" s="3"/>
      <c r="G27" s="3"/>
      <c r="H27" s="3" t="s">
        <v>293</v>
      </c>
      <c r="I27" s="3" t="s">
        <v>293</v>
      </c>
      <c r="J27" s="3"/>
      <c r="K27" s="3"/>
      <c r="L27" s="3"/>
      <c r="M27" s="60" t="s">
        <v>404</v>
      </c>
    </row>
    <row r="28" spans="1:13" ht="33.6" x14ac:dyDescent="0.4">
      <c r="A28" s="276">
        <v>23</v>
      </c>
      <c r="B28" s="5" t="s">
        <v>453</v>
      </c>
      <c r="C28" s="6" t="s">
        <v>293</v>
      </c>
      <c r="D28" s="3"/>
      <c r="E28" s="3"/>
      <c r="F28" s="3"/>
      <c r="G28" s="3"/>
      <c r="H28" s="3" t="s">
        <v>293</v>
      </c>
      <c r="I28" s="3"/>
      <c r="J28" s="3"/>
      <c r="K28" s="3"/>
      <c r="L28" s="3"/>
      <c r="M28" s="278" t="s">
        <v>341</v>
      </c>
    </row>
    <row r="29" spans="1:13" ht="33.6" x14ac:dyDescent="0.4">
      <c r="A29" s="276">
        <v>24</v>
      </c>
      <c r="B29" s="5" t="s">
        <v>316</v>
      </c>
      <c r="C29" s="6" t="s">
        <v>293</v>
      </c>
      <c r="D29" s="3"/>
      <c r="E29" s="3"/>
      <c r="F29" s="3"/>
      <c r="G29" s="3"/>
      <c r="H29" s="3"/>
      <c r="I29" s="3"/>
      <c r="J29" s="3"/>
      <c r="K29" s="3"/>
      <c r="L29" s="3" t="s">
        <v>293</v>
      </c>
      <c r="M29" s="278" t="s">
        <v>340</v>
      </c>
    </row>
    <row r="30" spans="1:13" ht="33.6" x14ac:dyDescent="0.4">
      <c r="A30" s="276">
        <v>25</v>
      </c>
      <c r="B30" s="5" t="s">
        <v>314</v>
      </c>
      <c r="C30" s="6" t="s">
        <v>293</v>
      </c>
      <c r="D30" s="3"/>
      <c r="E30" s="3"/>
      <c r="F30" s="3"/>
      <c r="G30" s="3"/>
      <c r="H30" s="3"/>
      <c r="I30" s="3"/>
      <c r="J30" s="3"/>
      <c r="K30" s="3"/>
      <c r="L30" s="3" t="s">
        <v>293</v>
      </c>
      <c r="M30" s="278" t="s">
        <v>340</v>
      </c>
    </row>
    <row r="31" spans="1:13" ht="33.6" x14ac:dyDescent="0.4">
      <c r="A31" s="276">
        <v>26</v>
      </c>
      <c r="B31" s="5" t="s">
        <v>315</v>
      </c>
      <c r="C31" s="6" t="s">
        <v>293</v>
      </c>
      <c r="D31" s="3"/>
      <c r="E31" s="3"/>
      <c r="F31" s="3"/>
      <c r="G31" s="3"/>
      <c r="H31" s="3"/>
      <c r="I31" s="3"/>
      <c r="J31" s="3"/>
      <c r="K31" s="3"/>
      <c r="L31" s="3" t="s">
        <v>293</v>
      </c>
      <c r="M31" s="278" t="s">
        <v>340</v>
      </c>
    </row>
    <row r="32" spans="1:13" x14ac:dyDescent="0.4">
      <c r="A32" s="276">
        <v>27</v>
      </c>
      <c r="B32" s="5" t="s">
        <v>317</v>
      </c>
      <c r="C32" s="6" t="s">
        <v>293</v>
      </c>
      <c r="D32" s="3"/>
      <c r="E32" s="3"/>
      <c r="F32" s="3"/>
      <c r="G32" s="3"/>
      <c r="H32" s="3"/>
      <c r="I32" s="3"/>
      <c r="J32" s="3"/>
      <c r="K32" s="3" t="s">
        <v>293</v>
      </c>
      <c r="L32" s="3"/>
      <c r="M32" s="462" t="s">
        <v>518</v>
      </c>
    </row>
    <row r="33" spans="1:13" ht="50.4" x14ac:dyDescent="0.4">
      <c r="A33" s="276">
        <v>28</v>
      </c>
      <c r="B33" s="5" t="s">
        <v>354</v>
      </c>
      <c r="C33" s="6" t="s">
        <v>199</v>
      </c>
      <c r="D33" s="3"/>
      <c r="E33" s="3"/>
      <c r="F33" s="3"/>
      <c r="G33" s="3"/>
      <c r="H33" s="3"/>
      <c r="I33" s="3"/>
      <c r="J33" s="3" t="s">
        <v>293</v>
      </c>
      <c r="K33" s="3"/>
      <c r="L33" s="3"/>
      <c r="M33" s="58" t="s">
        <v>405</v>
      </c>
    </row>
    <row r="34" spans="1:13" ht="33.6" x14ac:dyDescent="0.4">
      <c r="A34" s="276">
        <v>29</v>
      </c>
      <c r="B34" s="5" t="s">
        <v>322</v>
      </c>
      <c r="C34" s="6"/>
      <c r="D34" s="3"/>
      <c r="E34" s="3"/>
      <c r="F34" s="3"/>
      <c r="G34" s="3"/>
      <c r="H34" s="3"/>
      <c r="I34" s="3" t="s">
        <v>293</v>
      </c>
      <c r="J34" s="3"/>
      <c r="K34" s="3"/>
      <c r="L34" s="3"/>
      <c r="M34" s="278" t="s">
        <v>406</v>
      </c>
    </row>
    <row r="35" spans="1:13" x14ac:dyDescent="0.4">
      <c r="A35" s="276">
        <v>30</v>
      </c>
      <c r="B35" s="5" t="s">
        <v>323</v>
      </c>
      <c r="C35" s="6"/>
      <c r="D35" s="3"/>
      <c r="E35" s="3"/>
      <c r="F35" s="3"/>
      <c r="G35" s="3"/>
      <c r="H35" s="3"/>
      <c r="I35" s="3" t="s">
        <v>293</v>
      </c>
      <c r="J35" s="3"/>
      <c r="K35" s="3"/>
      <c r="L35" s="3"/>
      <c r="M35" s="60" t="s">
        <v>342</v>
      </c>
    </row>
    <row r="36" spans="1:13" x14ac:dyDescent="0.4">
      <c r="A36" s="276">
        <v>31</v>
      </c>
      <c r="B36" s="5" t="s">
        <v>324</v>
      </c>
      <c r="C36" s="6"/>
      <c r="D36" s="3"/>
      <c r="E36" s="3"/>
      <c r="F36" s="3"/>
      <c r="G36" s="3"/>
      <c r="H36" s="3"/>
      <c r="I36" s="3" t="s">
        <v>293</v>
      </c>
      <c r="J36" s="3"/>
      <c r="K36" s="3"/>
      <c r="L36" s="3"/>
      <c r="M36" s="60" t="s">
        <v>343</v>
      </c>
    </row>
    <row r="37" spans="1:13" x14ac:dyDescent="0.4">
      <c r="A37" s="276">
        <v>32</v>
      </c>
      <c r="B37" s="5" t="s">
        <v>325</v>
      </c>
      <c r="C37" s="6"/>
      <c r="D37" s="3"/>
      <c r="E37" s="3"/>
      <c r="F37" s="3"/>
      <c r="G37" s="3"/>
      <c r="H37" s="3"/>
      <c r="I37" s="3" t="s">
        <v>293</v>
      </c>
      <c r="J37" s="3"/>
      <c r="K37" s="3"/>
      <c r="L37" s="3"/>
      <c r="M37" s="60" t="s">
        <v>344</v>
      </c>
    </row>
    <row r="38" spans="1:13" ht="33.6" x14ac:dyDescent="0.4">
      <c r="A38" s="276">
        <v>33</v>
      </c>
      <c r="B38" s="5" t="s">
        <v>326</v>
      </c>
      <c r="C38" s="6"/>
      <c r="D38" s="3"/>
      <c r="E38" s="3"/>
      <c r="F38" s="3"/>
      <c r="G38" s="3"/>
      <c r="H38" s="3"/>
      <c r="I38" s="3" t="s">
        <v>293</v>
      </c>
      <c r="J38" s="3"/>
      <c r="K38" s="3"/>
      <c r="L38" s="3"/>
      <c r="M38" s="278" t="s">
        <v>345</v>
      </c>
    </row>
    <row r="39" spans="1:13" ht="33.6" x14ac:dyDescent="0.4">
      <c r="A39" s="276">
        <v>34</v>
      </c>
      <c r="B39" s="5" t="s">
        <v>327</v>
      </c>
      <c r="C39" s="6"/>
      <c r="D39" s="3"/>
      <c r="E39" s="3"/>
      <c r="F39" s="3"/>
      <c r="G39" s="3"/>
      <c r="H39" s="3"/>
      <c r="I39" s="3" t="s">
        <v>293</v>
      </c>
      <c r="J39" s="3"/>
      <c r="K39" s="3"/>
      <c r="L39" s="3"/>
      <c r="M39" s="278" t="s">
        <v>346</v>
      </c>
    </row>
    <row r="40" spans="1:13" ht="33.6" x14ac:dyDescent="0.4">
      <c r="A40" s="276">
        <v>35</v>
      </c>
      <c r="B40" s="5" t="s">
        <v>328</v>
      </c>
      <c r="C40" s="6"/>
      <c r="D40" s="3"/>
      <c r="E40" s="3"/>
      <c r="F40" s="3"/>
      <c r="G40" s="3"/>
      <c r="H40" s="3"/>
      <c r="I40" s="3" t="s">
        <v>293</v>
      </c>
      <c r="J40" s="3"/>
      <c r="K40" s="3"/>
      <c r="L40" s="3"/>
      <c r="M40" s="278" t="s">
        <v>347</v>
      </c>
    </row>
    <row r="41" spans="1:13" ht="33.6" x14ac:dyDescent="0.4">
      <c r="A41" s="276">
        <v>36</v>
      </c>
      <c r="B41" s="5" t="s">
        <v>329</v>
      </c>
      <c r="C41" s="6"/>
      <c r="D41" s="3"/>
      <c r="E41" s="3"/>
      <c r="F41" s="3"/>
      <c r="G41" s="3"/>
      <c r="H41" s="3"/>
      <c r="I41" s="3" t="s">
        <v>293</v>
      </c>
      <c r="J41" s="3"/>
      <c r="K41" s="3"/>
      <c r="L41" s="3"/>
      <c r="M41" s="278" t="s">
        <v>348</v>
      </c>
    </row>
    <row r="42" spans="1:13" ht="50.4" x14ac:dyDescent="0.4">
      <c r="A42" s="276">
        <v>37</v>
      </c>
      <c r="B42" s="5" t="s">
        <v>330</v>
      </c>
      <c r="C42" s="6"/>
      <c r="D42" s="3"/>
      <c r="E42" s="3"/>
      <c r="F42" s="3"/>
      <c r="G42" s="3"/>
      <c r="H42" s="3"/>
      <c r="I42" s="3" t="s">
        <v>293</v>
      </c>
      <c r="J42" s="3"/>
      <c r="K42" s="3"/>
      <c r="L42" s="3"/>
      <c r="M42" s="278" t="s">
        <v>349</v>
      </c>
    </row>
    <row r="43" spans="1:13" x14ac:dyDescent="0.4">
      <c r="A43" s="276">
        <v>38</v>
      </c>
      <c r="B43" s="5" t="s">
        <v>331</v>
      </c>
      <c r="C43" s="6"/>
      <c r="D43" s="3"/>
      <c r="E43" s="3"/>
      <c r="F43" s="3"/>
      <c r="G43" s="3"/>
      <c r="H43" s="3"/>
      <c r="I43" s="3" t="s">
        <v>293</v>
      </c>
      <c r="J43" s="3"/>
      <c r="K43" s="3"/>
      <c r="L43" s="3"/>
      <c r="M43" s="60" t="s">
        <v>342</v>
      </c>
    </row>
    <row r="44" spans="1:13" ht="151.19999999999999" x14ac:dyDescent="0.4">
      <c r="A44" s="276">
        <v>39</v>
      </c>
      <c r="B44" s="5" t="s">
        <v>332</v>
      </c>
      <c r="C44" s="6" t="s">
        <v>370</v>
      </c>
      <c r="D44" s="3"/>
      <c r="E44" s="3"/>
      <c r="F44" s="3"/>
      <c r="G44" s="3"/>
      <c r="H44" s="3"/>
      <c r="I44" s="3" t="s">
        <v>293</v>
      </c>
      <c r="J44" s="3"/>
      <c r="K44" s="3"/>
      <c r="L44" s="3"/>
      <c r="M44" s="278" t="s">
        <v>359</v>
      </c>
    </row>
    <row r="45" spans="1:13" x14ac:dyDescent="0.4">
      <c r="A45" s="276" t="s">
        <v>454</v>
      </c>
      <c r="B45" s="5" t="s">
        <v>455</v>
      </c>
      <c r="C45" s="6"/>
      <c r="D45" s="3"/>
      <c r="E45" s="3"/>
      <c r="F45" s="3"/>
      <c r="G45" s="3"/>
      <c r="H45" s="3"/>
      <c r="I45" s="3"/>
      <c r="J45" s="3"/>
      <c r="K45" s="3"/>
      <c r="L45" s="3" t="s">
        <v>199</v>
      </c>
      <c r="M45" s="60" t="s">
        <v>456</v>
      </c>
    </row>
  </sheetData>
  <sheetProtection algorithmName="SHA-512" hashValue="ZHsemEltNbaxH6onLaT1a+SarlnaaasmcflpDfzH4JLwAwgFgOFh0XZWClwP4u84c420qoQhwQUE5V7F2oNkGw==" saltValue="rnRtngBtN4mH97+kJDgsIA==" spinCount="100000" sheet="1" objects="1" scenarios="1"/>
  <pageMargins left="0.70866141732283472" right="0.70866141732283472" top="0.78740157480314965" bottom="0.78740157480314965" header="0.31496062992125984" footer="0.31496062992125984"/>
  <pageSetup paperSize="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A7243-0143-443A-905D-46BDC2174138}">
  <sheetPr codeName="Tabelle4">
    <tabColor rgb="FF00B0F0"/>
  </sheetPr>
  <dimension ref="A1:A4"/>
  <sheetViews>
    <sheetView workbookViewId="0">
      <selection activeCell="C10" sqref="C10"/>
    </sheetView>
  </sheetViews>
  <sheetFormatPr baseColWidth="10" defaultColWidth="11.5546875" defaultRowHeight="14.4" x14ac:dyDescent="0.3"/>
  <cols>
    <col min="1" max="16384" width="11.5546875" style="488"/>
  </cols>
  <sheetData>
    <row r="1" spans="1:1" ht="27" x14ac:dyDescent="0.3">
      <c r="A1" s="487" t="s">
        <v>355</v>
      </c>
    </row>
    <row r="2" spans="1:1" ht="18.600000000000001" x14ac:dyDescent="0.3">
      <c r="A2" s="489" t="s">
        <v>542</v>
      </c>
    </row>
    <row r="4" spans="1:1" x14ac:dyDescent="0.3">
      <c r="A4" s="490" t="s">
        <v>543</v>
      </c>
    </row>
  </sheetData>
  <sheetProtection algorithmName="SHA-512" hashValue="YoZU/u5P00cMuJlIaMYKjC+fPjKii+zGwv5fvMjR0h6ObdsKcTjyQj+8Wz0f6MRZdpQXoNZeu01Sd5eVAWTb4Q==" saltValue="3acuhbsdF1CfUdGhh5z4wA==" spinCount="100000"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00B0F0"/>
  </sheetPr>
  <dimension ref="A1:AA120"/>
  <sheetViews>
    <sheetView showGridLines="0" zoomScale="80" zoomScaleNormal="80" workbookViewId="0">
      <selection activeCell="G10" sqref="G10"/>
    </sheetView>
  </sheetViews>
  <sheetFormatPr baseColWidth="10" defaultColWidth="10.6640625" defaultRowHeight="16.8" outlineLevelRow="2" x14ac:dyDescent="0.3"/>
  <cols>
    <col min="1" max="1" width="6" style="1" bestFit="1" customWidth="1"/>
    <col min="2" max="2" width="24.88671875" style="1" customWidth="1"/>
    <col min="3" max="3" width="15.44140625" style="1" customWidth="1"/>
    <col min="4" max="4" width="35.5546875" style="1" customWidth="1"/>
    <col min="5" max="5" width="37.5546875" style="1" customWidth="1"/>
    <col min="6" max="6" width="9.6640625" style="3" customWidth="1"/>
    <col min="7" max="12" width="25.5546875" style="1" customWidth="1"/>
    <col min="13" max="13" width="25.5546875" style="2" customWidth="1"/>
    <col min="14" max="14" width="24.6640625" style="2" bestFit="1" customWidth="1"/>
    <col min="15" max="27" width="10.6640625" style="2" customWidth="1"/>
    <col min="28" max="16384" width="10.6640625" style="1"/>
  </cols>
  <sheetData>
    <row r="1" spans="1:27" s="272" customFormat="1" ht="27" x14ac:dyDescent="0.3">
      <c r="A1" s="15" t="s">
        <v>355</v>
      </c>
      <c r="B1" s="8"/>
      <c r="C1" s="8"/>
      <c r="D1" s="60"/>
      <c r="E1" s="60"/>
      <c r="F1" s="60"/>
      <c r="G1" s="467"/>
      <c r="H1" s="60"/>
      <c r="I1" s="285" t="s">
        <v>448</v>
      </c>
      <c r="J1" s="1"/>
      <c r="K1" s="1"/>
      <c r="M1" s="273"/>
      <c r="N1" s="273"/>
      <c r="O1" s="273"/>
      <c r="P1" s="273"/>
      <c r="Q1" s="273"/>
      <c r="R1" s="273"/>
      <c r="S1" s="273"/>
      <c r="T1" s="273"/>
      <c r="U1" s="273"/>
      <c r="V1" s="273"/>
      <c r="W1" s="273"/>
      <c r="X1" s="273"/>
      <c r="Y1" s="273"/>
      <c r="Z1" s="273"/>
      <c r="AA1" s="273"/>
    </row>
    <row r="2" spans="1:27" ht="18.600000000000001" x14ac:dyDescent="0.3">
      <c r="A2" s="271" t="s">
        <v>353</v>
      </c>
      <c r="B2" s="60"/>
      <c r="C2" s="60"/>
      <c r="D2" s="57"/>
      <c r="E2" s="57"/>
      <c r="F2" s="57"/>
    </row>
    <row r="3" spans="1:27" ht="33.6" x14ac:dyDescent="0.3">
      <c r="A3" s="133"/>
      <c r="D3" s="281" t="s">
        <v>269</v>
      </c>
      <c r="E3" s="282" t="s">
        <v>24</v>
      </c>
      <c r="H3" s="64" t="s">
        <v>484</v>
      </c>
      <c r="I3" s="65"/>
    </row>
    <row r="4" spans="1:27" ht="33.6" x14ac:dyDescent="0.3">
      <c r="A4" s="133"/>
      <c r="D4" s="283" t="s">
        <v>121</v>
      </c>
      <c r="E4" s="284" t="s">
        <v>304</v>
      </c>
      <c r="G4" s="469" t="s">
        <v>520</v>
      </c>
      <c r="H4" s="66" t="s">
        <v>485</v>
      </c>
      <c r="I4" s="65"/>
    </row>
    <row r="5" spans="1:27" ht="27" x14ac:dyDescent="0.3">
      <c r="A5" s="55"/>
      <c r="D5" s="67"/>
      <c r="E5" s="286"/>
      <c r="G5" s="67"/>
      <c r="H5" s="3"/>
    </row>
    <row r="6" spans="1:27" x14ac:dyDescent="0.3">
      <c r="B6" s="287" t="s">
        <v>373</v>
      </c>
      <c r="G6" s="68"/>
    </row>
    <row r="7" spans="1:27" ht="5.7" customHeight="1" x14ac:dyDescent="0.3">
      <c r="A7" s="69"/>
      <c r="E7" s="278"/>
      <c r="F7" s="288"/>
      <c r="G7" s="289"/>
      <c r="H7" s="290"/>
      <c r="I7" s="290"/>
      <c r="J7" s="291"/>
      <c r="K7" s="291"/>
      <c r="L7" s="70"/>
    </row>
    <row r="8" spans="1:27" ht="20.100000000000001" customHeight="1" x14ac:dyDescent="0.3">
      <c r="A8" s="405">
        <v>1</v>
      </c>
      <c r="B8" s="292" t="s">
        <v>374</v>
      </c>
      <c r="C8" s="293" t="s">
        <v>303</v>
      </c>
      <c r="D8" s="294"/>
      <c r="E8" s="295"/>
      <c r="F8" s="296"/>
      <c r="G8" s="297"/>
      <c r="H8" s="71"/>
      <c r="I8" s="71"/>
    </row>
    <row r="9" spans="1:27" ht="20.100000000000001" customHeight="1" x14ac:dyDescent="0.3">
      <c r="A9" s="405">
        <v>2</v>
      </c>
      <c r="B9" s="292"/>
      <c r="C9" s="293" t="s">
        <v>388</v>
      </c>
      <c r="D9" s="294"/>
      <c r="E9" s="295"/>
      <c r="F9" s="296"/>
      <c r="G9" s="297"/>
      <c r="H9" s="71"/>
      <c r="I9" s="71"/>
    </row>
    <row r="10" spans="1:27" ht="20.100000000000001" customHeight="1" x14ac:dyDescent="0.3">
      <c r="A10" s="405">
        <v>3</v>
      </c>
      <c r="B10" s="292"/>
      <c r="C10" s="293" t="s">
        <v>392</v>
      </c>
      <c r="D10" s="294"/>
      <c r="E10" s="298"/>
      <c r="F10" s="296"/>
      <c r="G10" s="297"/>
      <c r="H10" s="71"/>
      <c r="I10" s="71"/>
    </row>
    <row r="11" spans="1:27" ht="20.100000000000001" customHeight="1" x14ac:dyDescent="0.3">
      <c r="A11" s="405">
        <v>4</v>
      </c>
      <c r="B11" s="292"/>
      <c r="C11" s="293" t="s">
        <v>389</v>
      </c>
      <c r="D11" s="294"/>
      <c r="E11" s="295"/>
      <c r="F11" s="296"/>
      <c r="G11" s="297"/>
      <c r="H11" s="479" t="s">
        <v>521</v>
      </c>
      <c r="I11" s="88" t="s">
        <v>522</v>
      </c>
      <c r="J11" s="88" t="s">
        <v>522</v>
      </c>
      <c r="K11" s="88" t="s">
        <v>522</v>
      </c>
      <c r="L11" s="88" t="s">
        <v>522</v>
      </c>
      <c r="M11" s="88" t="s">
        <v>522</v>
      </c>
    </row>
    <row r="12" spans="1:27" s="267" customFormat="1" ht="60" customHeight="1" x14ac:dyDescent="0.3">
      <c r="A12" s="464">
        <v>5</v>
      </c>
      <c r="B12" s="305"/>
      <c r="C12" s="293" t="s">
        <v>523</v>
      </c>
      <c r="D12" s="294"/>
      <c r="E12" s="295"/>
      <c r="F12" s="328"/>
      <c r="G12" s="300" t="str">
        <f>_xlfn.TEXTJOIN(" | ",TRUE,H12:M12)</f>
        <v/>
      </c>
      <c r="H12" s="477"/>
      <c r="I12" s="465"/>
      <c r="J12" s="465"/>
      <c r="K12" s="465"/>
      <c r="L12" s="465"/>
      <c r="M12" s="465"/>
      <c r="N12" s="466"/>
      <c r="O12" s="466"/>
      <c r="P12" s="466"/>
      <c r="Q12" s="466"/>
      <c r="R12" s="466"/>
      <c r="S12" s="466"/>
      <c r="T12" s="466"/>
      <c r="U12" s="466"/>
      <c r="V12" s="466"/>
      <c r="W12" s="466"/>
      <c r="X12" s="466"/>
      <c r="Y12" s="466"/>
      <c r="Z12" s="466"/>
      <c r="AA12" s="466"/>
    </row>
    <row r="13" spans="1:27" ht="39.9" customHeight="1" x14ac:dyDescent="0.3">
      <c r="A13" s="405">
        <v>6</v>
      </c>
      <c r="B13" s="292"/>
      <c r="C13" s="299" t="s">
        <v>541</v>
      </c>
      <c r="D13" s="294"/>
      <c r="E13" s="295"/>
      <c r="F13" s="296"/>
      <c r="G13" s="300" t="str">
        <f>IF(H13&lt;&gt;"",SUM(H13:M13)," ")</f>
        <v xml:space="preserve"> </v>
      </c>
      <c r="H13" s="478"/>
      <c r="I13" s="302"/>
      <c r="J13" s="302"/>
      <c r="K13" s="302"/>
      <c r="L13" s="302"/>
      <c r="M13" s="302"/>
    </row>
    <row r="14" spans="1:27" ht="20.100000000000001" customHeight="1" x14ac:dyDescent="0.3">
      <c r="A14" s="405">
        <v>7</v>
      </c>
      <c r="B14" s="292"/>
      <c r="C14" s="303" t="s">
        <v>363</v>
      </c>
      <c r="D14" s="303"/>
      <c r="E14" s="303"/>
      <c r="F14" s="296"/>
      <c r="G14" s="282" t="str">
        <f>IF(H14&lt;&gt;"",SUM(H14:M14)," ")</f>
        <v xml:space="preserve"> </v>
      </c>
      <c r="H14" s="301"/>
      <c r="I14" s="302"/>
      <c r="J14" s="302"/>
      <c r="K14" s="302"/>
      <c r="L14" s="302"/>
      <c r="M14" s="302"/>
    </row>
    <row r="15" spans="1:27" ht="47.25" customHeight="1" x14ac:dyDescent="0.3">
      <c r="A15" s="405">
        <v>8</v>
      </c>
      <c r="B15" s="292"/>
      <c r="C15" s="303" t="s">
        <v>364</v>
      </c>
      <c r="D15" s="303"/>
      <c r="E15" s="303"/>
      <c r="F15" s="296"/>
      <c r="G15" s="282" t="str">
        <f>IF(H15&lt;&gt;"",SUM(H15:M15),"")</f>
        <v/>
      </c>
      <c r="H15" s="301"/>
      <c r="I15" s="302"/>
      <c r="J15" s="302"/>
      <c r="K15" s="302"/>
      <c r="L15" s="302"/>
      <c r="M15" s="302"/>
    </row>
    <row r="16" spans="1:27" ht="5.7" customHeight="1" x14ac:dyDescent="0.3">
      <c r="A16" s="406"/>
      <c r="E16" s="278"/>
      <c r="F16" s="288"/>
      <c r="G16" s="304"/>
      <c r="H16" s="71"/>
      <c r="I16" s="71"/>
    </row>
    <row r="17" spans="1:12" ht="39.9" customHeight="1" x14ac:dyDescent="0.3">
      <c r="A17" s="405">
        <v>9</v>
      </c>
      <c r="B17" s="305" t="s">
        <v>375</v>
      </c>
      <c r="C17" s="303" t="s">
        <v>488</v>
      </c>
      <c r="D17" s="303"/>
      <c r="E17" s="303"/>
      <c r="F17" s="306"/>
      <c r="G17" s="297"/>
      <c r="H17" s="307"/>
      <c r="I17" s="307"/>
      <c r="J17" s="307"/>
      <c r="K17" s="307"/>
      <c r="L17" s="72"/>
    </row>
    <row r="18" spans="1:12" ht="39.9" customHeight="1" x14ac:dyDescent="0.3">
      <c r="A18" s="405">
        <v>10</v>
      </c>
      <c r="B18" s="308"/>
      <c r="C18" s="303" t="s">
        <v>489</v>
      </c>
      <c r="D18" s="303"/>
      <c r="E18" s="303"/>
      <c r="F18" s="306"/>
      <c r="G18" s="297"/>
      <c r="H18" s="307"/>
      <c r="I18" s="307"/>
      <c r="J18" s="307"/>
      <c r="K18" s="309"/>
      <c r="L18" s="72"/>
    </row>
    <row r="19" spans="1:12" ht="39.9" customHeight="1" x14ac:dyDescent="0.3">
      <c r="A19" s="405">
        <v>11</v>
      </c>
      <c r="B19" s="308"/>
      <c r="C19" s="303" t="s">
        <v>490</v>
      </c>
      <c r="D19" s="303"/>
      <c r="E19" s="303"/>
      <c r="F19" s="306"/>
      <c r="G19" s="310"/>
      <c r="H19" s="311"/>
      <c r="I19" s="311"/>
      <c r="J19" s="311"/>
      <c r="K19" s="311"/>
      <c r="L19" s="73"/>
    </row>
    <row r="20" spans="1:12" ht="39.9" customHeight="1" x14ac:dyDescent="0.3">
      <c r="A20" s="405">
        <v>12</v>
      </c>
      <c r="B20" s="308"/>
      <c r="C20" s="303" t="s">
        <v>491</v>
      </c>
      <c r="D20" s="303"/>
      <c r="E20" s="303"/>
      <c r="F20" s="306"/>
      <c r="G20" s="297"/>
      <c r="H20" s="307"/>
      <c r="I20" s="307"/>
      <c r="J20" s="307"/>
      <c r="K20" s="307"/>
      <c r="L20" s="72"/>
    </row>
    <row r="21" spans="1:12" ht="39.9" customHeight="1" x14ac:dyDescent="0.3">
      <c r="A21" s="405">
        <v>13</v>
      </c>
      <c r="B21" s="308"/>
      <c r="C21" s="303" t="s">
        <v>492</v>
      </c>
      <c r="D21" s="303"/>
      <c r="E21" s="303"/>
      <c r="F21" s="306"/>
      <c r="G21" s="297"/>
      <c r="H21" s="307"/>
      <c r="I21" s="307"/>
      <c r="J21" s="307"/>
      <c r="K21" s="307"/>
      <c r="L21" s="72"/>
    </row>
    <row r="22" spans="1:12" ht="39.9" customHeight="1" x14ac:dyDescent="0.3">
      <c r="A22" s="405">
        <v>14</v>
      </c>
      <c r="B22" s="308"/>
      <c r="C22" s="303" t="s">
        <v>493</v>
      </c>
      <c r="D22" s="303"/>
      <c r="E22" s="303"/>
      <c r="F22" s="306"/>
      <c r="G22" s="297"/>
      <c r="H22" s="307"/>
      <c r="I22" s="307"/>
      <c r="J22" s="307"/>
      <c r="K22" s="307"/>
      <c r="L22" s="72"/>
    </row>
    <row r="23" spans="1:12" ht="5.7" customHeight="1" x14ac:dyDescent="0.3">
      <c r="A23" s="406"/>
      <c r="E23" s="278"/>
      <c r="F23" s="288"/>
      <c r="G23" s="312"/>
      <c r="H23" s="290"/>
      <c r="I23" s="290"/>
      <c r="J23" s="291"/>
      <c r="K23" s="291"/>
      <c r="L23" s="70"/>
    </row>
    <row r="24" spans="1:12" ht="18.600000000000001" x14ac:dyDescent="0.3">
      <c r="A24" s="406"/>
      <c r="E24" s="278"/>
      <c r="F24" s="288"/>
      <c r="G24" s="304"/>
      <c r="H24" s="71"/>
      <c r="I24" s="71"/>
    </row>
    <row r="25" spans="1:12" ht="18.600000000000001" hidden="1" outlineLevel="1" x14ac:dyDescent="0.3">
      <c r="A25" s="405"/>
      <c r="E25" s="278"/>
      <c r="F25" s="278"/>
      <c r="G25" s="304"/>
      <c r="H25" s="71"/>
      <c r="I25" s="71"/>
    </row>
    <row r="26" spans="1:12" ht="18.600000000000001" hidden="1" outlineLevel="1" x14ac:dyDescent="0.3">
      <c r="A26" s="405"/>
      <c r="B26" s="313" t="s">
        <v>23</v>
      </c>
      <c r="C26" s="314">
        <v>4</v>
      </c>
      <c r="D26" s="315" t="str">
        <f>IF(C26=""," &lt;-- Anzahl der Konzepte auswählen!","")</f>
        <v/>
      </c>
      <c r="E26" s="278"/>
      <c r="F26" s="278"/>
      <c r="G26" s="316" t="str">
        <f>IF($C$26&gt;=1,"X","")</f>
        <v>X</v>
      </c>
      <c r="H26" s="316" t="str">
        <f>IF($C$26&gt;=3,"X","")</f>
        <v>X</v>
      </c>
      <c r="I26" s="316" t="str">
        <f>IF($C$26&gt;=4,"X","")</f>
        <v>X</v>
      </c>
      <c r="J26" s="317" t="str">
        <f>IF($C$26&gt;=5,"X","")</f>
        <v/>
      </c>
      <c r="K26" s="317" t="str">
        <f>IF($C$26&gt;=6,"X","")</f>
        <v/>
      </c>
      <c r="L26" s="74" t="str">
        <f>IF($C$26&gt;=7,"X","")</f>
        <v/>
      </c>
    </row>
    <row r="27" spans="1:12" ht="39.9" customHeight="1" collapsed="1" x14ac:dyDescent="0.3">
      <c r="A27" s="405">
        <v>15</v>
      </c>
      <c r="B27" s="313" t="s">
        <v>376</v>
      </c>
      <c r="C27" s="64" t="s">
        <v>494</v>
      </c>
      <c r="D27" s="318"/>
      <c r="E27" s="319"/>
      <c r="F27" s="1"/>
      <c r="G27" s="320"/>
      <c r="H27" s="316"/>
      <c r="I27" s="316"/>
      <c r="J27" s="317"/>
      <c r="K27" s="317"/>
      <c r="L27" s="74"/>
    </row>
    <row r="28" spans="1:12" ht="18.600000000000001" x14ac:dyDescent="0.3">
      <c r="A28" s="406"/>
      <c r="F28" s="1"/>
      <c r="G28" s="71"/>
      <c r="H28" s="316"/>
      <c r="I28" s="316"/>
      <c r="J28" s="317"/>
      <c r="K28" s="317"/>
      <c r="L28" s="74"/>
    </row>
    <row r="29" spans="1:12" ht="35.1" customHeight="1" x14ac:dyDescent="0.3">
      <c r="A29" s="405"/>
      <c r="B29" s="287" t="s">
        <v>377</v>
      </c>
      <c r="C29" s="321" t="s">
        <v>206</v>
      </c>
      <c r="D29" s="322"/>
      <c r="E29" s="323"/>
      <c r="F29" s="324"/>
      <c r="G29" s="75" t="s">
        <v>358</v>
      </c>
      <c r="H29" s="75" t="s">
        <v>356</v>
      </c>
      <c r="I29" s="75" t="s">
        <v>357</v>
      </c>
      <c r="J29" s="76"/>
      <c r="K29" s="76"/>
      <c r="L29" s="76"/>
    </row>
    <row r="30" spans="1:12" ht="5.7" customHeight="1" x14ac:dyDescent="0.3">
      <c r="A30" s="406"/>
      <c r="E30" s="278"/>
      <c r="F30" s="288"/>
      <c r="G30" s="325"/>
      <c r="H30" s="325"/>
      <c r="I30" s="325"/>
      <c r="J30" s="326"/>
      <c r="K30" s="326"/>
      <c r="L30" s="77"/>
    </row>
    <row r="31" spans="1:12" ht="30" customHeight="1" x14ac:dyDescent="0.3">
      <c r="A31" s="405">
        <v>16</v>
      </c>
      <c r="B31" s="327" t="s">
        <v>129</v>
      </c>
      <c r="C31" s="64" t="s">
        <v>263</v>
      </c>
      <c r="D31" s="318"/>
      <c r="E31" s="319"/>
      <c r="F31" s="328"/>
      <c r="G31" s="310"/>
      <c r="H31" s="310"/>
      <c r="I31" s="310"/>
      <c r="J31" s="329"/>
      <c r="K31" s="329"/>
      <c r="L31" s="78"/>
    </row>
    <row r="32" spans="1:12" ht="5.7" customHeight="1" x14ac:dyDescent="0.3">
      <c r="A32" s="406"/>
      <c r="E32" s="278"/>
      <c r="F32" s="278"/>
      <c r="G32" s="330"/>
      <c r="H32" s="330"/>
      <c r="I32" s="330"/>
      <c r="J32" s="331"/>
      <c r="K32" s="331"/>
      <c r="L32" s="79"/>
    </row>
    <row r="33" spans="1:12" ht="20.100000000000001" customHeight="1" x14ac:dyDescent="0.3">
      <c r="A33" s="405">
        <v>17</v>
      </c>
      <c r="B33" s="510" t="s">
        <v>378</v>
      </c>
      <c r="C33" s="332" t="s">
        <v>207</v>
      </c>
      <c r="D33" s="333"/>
      <c r="E33" s="65"/>
      <c r="F33" s="334"/>
      <c r="G33" s="335"/>
      <c r="H33" s="335"/>
      <c r="I33" s="335"/>
      <c r="J33" s="336"/>
      <c r="K33" s="336"/>
      <c r="L33" s="80"/>
    </row>
    <row r="34" spans="1:12" ht="39.9" customHeight="1" x14ac:dyDescent="0.3">
      <c r="A34" s="405">
        <v>18</v>
      </c>
      <c r="B34" s="511"/>
      <c r="C34" s="337" t="s">
        <v>209</v>
      </c>
      <c r="D34" s="338"/>
      <c r="E34" s="339"/>
      <c r="F34" s="334"/>
      <c r="G34" s="340"/>
      <c r="H34" s="340"/>
      <c r="I34" s="340"/>
      <c r="J34" s="341"/>
      <c r="K34" s="341"/>
      <c r="L34" s="81"/>
    </row>
    <row r="35" spans="1:12" ht="39.9" customHeight="1" outlineLevel="1" x14ac:dyDescent="0.3">
      <c r="A35" s="405">
        <v>19</v>
      </c>
      <c r="B35" s="511"/>
      <c r="C35" s="337" t="s">
        <v>208</v>
      </c>
      <c r="D35" s="338"/>
      <c r="E35" s="339"/>
      <c r="F35" s="334"/>
      <c r="G35" s="342"/>
      <c r="H35" s="342"/>
      <c r="I35" s="342"/>
      <c r="J35" s="343"/>
      <c r="K35" s="343"/>
      <c r="L35" s="82"/>
    </row>
    <row r="36" spans="1:12" ht="20.100000000000001" customHeight="1" outlineLevel="1" x14ac:dyDescent="0.3">
      <c r="A36" s="405">
        <v>20</v>
      </c>
      <c r="B36" s="511"/>
      <c r="C36" s="337" t="s">
        <v>362</v>
      </c>
      <c r="D36" s="338"/>
      <c r="E36" s="339"/>
      <c r="F36" s="334"/>
      <c r="G36" s="344" t="s">
        <v>46</v>
      </c>
      <c r="H36" s="344" t="s">
        <v>111</v>
      </c>
      <c r="I36" s="344" t="s">
        <v>112</v>
      </c>
      <c r="J36" s="343"/>
      <c r="K36" s="343"/>
      <c r="L36" s="82"/>
    </row>
    <row r="37" spans="1:12" ht="5.7" customHeight="1" outlineLevel="1" x14ac:dyDescent="0.3">
      <c r="A37" s="406"/>
      <c r="E37" s="278"/>
      <c r="F37" s="288"/>
      <c r="G37" s="325"/>
      <c r="H37" s="325"/>
      <c r="I37" s="325"/>
      <c r="J37" s="326"/>
      <c r="K37" s="326"/>
      <c r="L37" s="77"/>
    </row>
    <row r="38" spans="1:12" ht="39.9" customHeight="1" outlineLevel="1" x14ac:dyDescent="0.3">
      <c r="A38" s="405">
        <v>21</v>
      </c>
      <c r="B38" s="327" t="s">
        <v>92</v>
      </c>
      <c r="C38" s="64" t="s">
        <v>446</v>
      </c>
      <c r="D38" s="318"/>
      <c r="E38" s="319"/>
      <c r="F38" s="328"/>
      <c r="G38" s="310"/>
      <c r="H38" s="310"/>
      <c r="I38" s="310"/>
      <c r="J38" s="329"/>
      <c r="K38" s="329"/>
      <c r="L38" s="78"/>
    </row>
    <row r="39" spans="1:12" ht="5.7" customHeight="1" outlineLevel="1" x14ac:dyDescent="0.3">
      <c r="A39" s="406"/>
      <c r="E39" s="278"/>
      <c r="F39" s="288"/>
      <c r="G39" s="325"/>
      <c r="H39" s="345"/>
      <c r="I39" s="345"/>
      <c r="J39" s="346"/>
      <c r="K39" s="346"/>
      <c r="L39" s="83"/>
    </row>
    <row r="40" spans="1:12" ht="20.100000000000001" customHeight="1" outlineLevel="1" x14ac:dyDescent="0.3">
      <c r="A40" s="405">
        <v>22</v>
      </c>
      <c r="B40" s="511" t="s">
        <v>379</v>
      </c>
      <c r="C40" s="64" t="s">
        <v>219</v>
      </c>
      <c r="D40" s="318"/>
      <c r="E40" s="319"/>
      <c r="F40" s="328"/>
      <c r="G40" s="297"/>
      <c r="H40" s="297"/>
      <c r="I40" s="297"/>
      <c r="J40" s="347"/>
      <c r="K40" s="347"/>
      <c r="L40" s="84"/>
    </row>
    <row r="41" spans="1:12" ht="20.100000000000001" customHeight="1" outlineLevel="1" x14ac:dyDescent="0.3">
      <c r="A41" s="405">
        <v>23</v>
      </c>
      <c r="B41" s="511"/>
      <c r="C41" s="64" t="str">
        <f ca="1">IFERROR(IF(AND(F41&gt;0,F41&lt;&gt;9999),"Wie viele Lkw-Parkstände entfallen während der Bauzeit? (Bestand = "&amp;F41&amp;" Lkw-Parkstände)","Wie viele Lkw-Parkstände entfallen während der Bauzeit?"),"Wie viele Lkw-Parkstände entfallen während der Bauzeit?")</f>
        <v>Wie viele Lkw-Parkstände entfallen während der Bauzeit?</v>
      </c>
      <c r="D41" s="318"/>
      <c r="E41" s="319"/>
      <c r="F41" s="348">
        <f ca="1">IFERROR(IF(INDIRECT("'Phase 1'!"&amp;ADDRESS(ROW(#REF!),#REF!))&gt;0,INDIRECT("'Phase 1'!"&amp;ADDRESS(ROW(#REF!),#REF!)),0),9999)</f>
        <v>9999</v>
      </c>
      <c r="G41" s="297"/>
      <c r="H41" s="297"/>
      <c r="I41" s="297"/>
      <c r="J41" s="347"/>
      <c r="K41" s="347"/>
      <c r="L41" s="84"/>
    </row>
    <row r="42" spans="1:12" ht="39.9" customHeight="1" outlineLevel="1" x14ac:dyDescent="0.3">
      <c r="A42" s="405">
        <v>24</v>
      </c>
      <c r="B42" s="511"/>
      <c r="C42" s="64" t="s">
        <v>270</v>
      </c>
      <c r="D42" s="318"/>
      <c r="E42" s="319"/>
      <c r="F42" s="328"/>
      <c r="G42" s="310"/>
      <c r="H42" s="310"/>
      <c r="I42" s="310"/>
      <c r="J42" s="329"/>
      <c r="K42" s="329"/>
      <c r="L42" s="78"/>
    </row>
    <row r="43" spans="1:12" ht="39.9" customHeight="1" outlineLevel="1" x14ac:dyDescent="0.3">
      <c r="A43" s="405">
        <v>25</v>
      </c>
      <c r="B43" s="511"/>
      <c r="C43" s="64" t="s">
        <v>274</v>
      </c>
      <c r="D43" s="318"/>
      <c r="E43" s="319"/>
      <c r="F43" s="328"/>
      <c r="G43" s="310"/>
      <c r="H43" s="310"/>
      <c r="I43" s="310"/>
      <c r="J43" s="329"/>
      <c r="K43" s="329"/>
      <c r="L43" s="78"/>
    </row>
    <row r="44" spans="1:12" ht="39.9" customHeight="1" outlineLevel="1" x14ac:dyDescent="0.3">
      <c r="A44" s="405">
        <v>26</v>
      </c>
      <c r="B44" s="511"/>
      <c r="C44" s="64" t="s">
        <v>275</v>
      </c>
      <c r="D44" s="318"/>
      <c r="E44" s="319"/>
      <c r="F44" s="328"/>
      <c r="G44" s="310"/>
      <c r="H44" s="310"/>
      <c r="I44" s="310"/>
      <c r="J44" s="329"/>
      <c r="K44" s="329"/>
      <c r="L44" s="78"/>
    </row>
    <row r="45" spans="1:12" ht="5.85" customHeight="1" outlineLevel="1" x14ac:dyDescent="0.3">
      <c r="A45" s="406"/>
      <c r="E45" s="278"/>
      <c r="F45" s="278"/>
      <c r="G45" s="330"/>
      <c r="H45" s="330"/>
      <c r="I45" s="330"/>
      <c r="J45" s="331"/>
      <c r="K45" s="331"/>
      <c r="L45" s="79"/>
    </row>
    <row r="46" spans="1:12" ht="20.100000000000001" customHeight="1" outlineLevel="1" x14ac:dyDescent="0.3">
      <c r="A46" s="405">
        <v>27</v>
      </c>
      <c r="B46" s="511" t="s">
        <v>115</v>
      </c>
      <c r="C46" s="332" t="s">
        <v>495</v>
      </c>
      <c r="D46" s="333"/>
      <c r="E46" s="65"/>
      <c r="F46" s="334"/>
      <c r="G46" s="310"/>
      <c r="H46" s="310"/>
      <c r="I46" s="310"/>
      <c r="J46" s="329"/>
      <c r="K46" s="329"/>
      <c r="L46" s="78"/>
    </row>
    <row r="47" spans="1:12" ht="60.75" customHeight="1" outlineLevel="1" x14ac:dyDescent="0.3">
      <c r="A47" s="405">
        <v>28</v>
      </c>
      <c r="B47" s="511"/>
      <c r="C47" s="64" t="s">
        <v>496</v>
      </c>
      <c r="D47" s="318"/>
      <c r="E47" s="319"/>
      <c r="F47" s="334"/>
      <c r="G47" s="468" t="s">
        <v>519</v>
      </c>
      <c r="H47" s="468" t="s">
        <v>519</v>
      </c>
      <c r="I47" s="468" t="s">
        <v>519</v>
      </c>
      <c r="J47" s="85"/>
      <c r="K47" s="85"/>
      <c r="L47" s="86"/>
    </row>
    <row r="48" spans="1:12" ht="18.600000000000001" outlineLevel="1" x14ac:dyDescent="0.3">
      <c r="A48" s="406"/>
      <c r="E48" s="278"/>
      <c r="F48" s="278"/>
      <c r="G48" s="304"/>
      <c r="H48" s="71"/>
      <c r="I48" s="71"/>
      <c r="J48" s="76"/>
      <c r="K48" s="76"/>
      <c r="L48" s="76"/>
    </row>
    <row r="49" spans="1:12" ht="35.1" customHeight="1" outlineLevel="1" x14ac:dyDescent="0.3">
      <c r="A49" s="405"/>
      <c r="B49" s="287" t="s">
        <v>380</v>
      </c>
      <c r="C49" s="321" t="s">
        <v>206</v>
      </c>
      <c r="D49" s="322"/>
      <c r="E49" s="323"/>
      <c r="F49" s="349"/>
      <c r="G49" s="87" t="str">
        <f>IF(G26="X",IF(G$31&lt;&gt;"",G$31,G$29),"")</f>
        <v>Konventioneller Ausbau</v>
      </c>
      <c r="H49" s="88" t="str">
        <f>IF(H26="X",IF(H$31&lt;&gt;"",H$31,H$29),"")</f>
        <v>Kolonnenparken</v>
      </c>
      <c r="I49" s="88" t="str">
        <f>IF(I26="X",IF(I$31&lt;&gt;"",I$31,I$29),"")</f>
        <v>Kompaktparken</v>
      </c>
      <c r="J49" s="89"/>
      <c r="K49" s="89"/>
      <c r="L49" s="89"/>
    </row>
    <row r="50" spans="1:12" ht="5.7" customHeight="1" outlineLevel="1" x14ac:dyDescent="0.3">
      <c r="A50" s="406"/>
      <c r="E50" s="278"/>
      <c r="F50" s="278"/>
      <c r="G50" s="330"/>
      <c r="H50" s="330"/>
      <c r="I50" s="330"/>
      <c r="J50" s="331"/>
      <c r="K50" s="331"/>
      <c r="L50" s="79"/>
    </row>
    <row r="51" spans="1:12" ht="33.6" outlineLevel="1" x14ac:dyDescent="0.3">
      <c r="A51" s="405">
        <v>29</v>
      </c>
      <c r="B51" s="313" t="s">
        <v>381</v>
      </c>
      <c r="C51" s="337" t="s">
        <v>497</v>
      </c>
      <c r="D51" s="338"/>
      <c r="E51" s="339"/>
      <c r="F51" s="334"/>
      <c r="G51" s="350"/>
      <c r="H51" s="350"/>
      <c r="I51" s="350"/>
      <c r="J51" s="351"/>
      <c r="K51" s="351"/>
      <c r="L51" s="90"/>
    </row>
    <row r="52" spans="1:12" ht="5.7" customHeight="1" outlineLevel="1" x14ac:dyDescent="0.3">
      <c r="A52" s="406"/>
      <c r="E52" s="278"/>
      <c r="F52" s="278"/>
      <c r="G52" s="330"/>
      <c r="H52" s="330"/>
      <c r="I52" s="330"/>
      <c r="J52" s="331"/>
      <c r="K52" s="331"/>
      <c r="L52" s="79"/>
    </row>
    <row r="53" spans="1:12" ht="20.100000000000001" customHeight="1" outlineLevel="1" x14ac:dyDescent="0.3">
      <c r="A53" s="405">
        <v>30</v>
      </c>
      <c r="B53" s="510" t="s">
        <v>382</v>
      </c>
      <c r="C53" s="337" t="s">
        <v>64</v>
      </c>
      <c r="D53" s="338"/>
      <c r="E53" s="339"/>
      <c r="F53" s="352" t="s">
        <v>65</v>
      </c>
      <c r="G53" s="335"/>
      <c r="H53" s="335"/>
      <c r="I53" s="335"/>
      <c r="J53" s="336"/>
      <c r="K53" s="336"/>
      <c r="L53" s="80"/>
    </row>
    <row r="54" spans="1:12" ht="39.9" customHeight="1" outlineLevel="1" x14ac:dyDescent="0.3">
      <c r="A54" s="405">
        <v>31</v>
      </c>
      <c r="B54" s="511"/>
      <c r="C54" s="64" t="s">
        <v>55</v>
      </c>
      <c r="D54" s="318"/>
      <c r="E54" s="319"/>
      <c r="F54" s="352" t="s">
        <v>66</v>
      </c>
      <c r="G54" s="335"/>
      <c r="H54" s="335"/>
      <c r="I54" s="335"/>
      <c r="J54" s="336"/>
      <c r="K54" s="336"/>
      <c r="L54" s="80"/>
    </row>
    <row r="55" spans="1:12" ht="39.9" customHeight="1" outlineLevel="1" x14ac:dyDescent="0.3">
      <c r="A55" s="405">
        <v>32</v>
      </c>
      <c r="B55" s="511"/>
      <c r="C55" s="64" t="s">
        <v>56</v>
      </c>
      <c r="D55" s="318"/>
      <c r="E55" s="319"/>
      <c r="F55" s="352" t="s">
        <v>67</v>
      </c>
      <c r="G55" s="335"/>
      <c r="H55" s="335"/>
      <c r="I55" s="335"/>
      <c r="J55" s="336"/>
      <c r="K55" s="336"/>
      <c r="L55" s="80"/>
    </row>
    <row r="56" spans="1:12" ht="39.9" customHeight="1" outlineLevel="1" x14ac:dyDescent="0.3">
      <c r="A56" s="405">
        <v>33</v>
      </c>
      <c r="B56" s="511"/>
      <c r="C56" s="64" t="s">
        <v>57</v>
      </c>
      <c r="D56" s="318"/>
      <c r="E56" s="319"/>
      <c r="F56" s="352" t="s">
        <v>68</v>
      </c>
      <c r="G56" s="335"/>
      <c r="H56" s="335"/>
      <c r="I56" s="335"/>
      <c r="J56" s="336"/>
      <c r="K56" s="336"/>
      <c r="L56" s="80"/>
    </row>
    <row r="57" spans="1:12" ht="20.100000000000001" customHeight="1" outlineLevel="1" x14ac:dyDescent="0.3">
      <c r="A57" s="405">
        <v>34</v>
      </c>
      <c r="B57" s="511"/>
      <c r="C57" s="64" t="s">
        <v>58</v>
      </c>
      <c r="D57" s="318"/>
      <c r="E57" s="319"/>
      <c r="F57" s="352" t="s">
        <v>69</v>
      </c>
      <c r="G57" s="335"/>
      <c r="H57" s="335"/>
      <c r="I57" s="335"/>
      <c r="J57" s="336"/>
      <c r="K57" s="336"/>
      <c r="L57" s="80"/>
    </row>
    <row r="58" spans="1:12" ht="20.100000000000001" customHeight="1" outlineLevel="1" x14ac:dyDescent="0.3">
      <c r="A58" s="405">
        <v>35</v>
      </c>
      <c r="B58" s="511"/>
      <c r="C58" s="64" t="s">
        <v>59</v>
      </c>
      <c r="D58" s="318"/>
      <c r="E58" s="319"/>
      <c r="F58" s="352" t="s">
        <v>70</v>
      </c>
      <c r="G58" s="335"/>
      <c r="H58" s="335"/>
      <c r="I58" s="335"/>
      <c r="J58" s="336"/>
      <c r="K58" s="336"/>
      <c r="L58" s="80"/>
    </row>
    <row r="59" spans="1:12" ht="20.100000000000001" customHeight="1" outlineLevel="1" x14ac:dyDescent="0.3">
      <c r="A59" s="405">
        <v>36</v>
      </c>
      <c r="B59" s="511"/>
      <c r="C59" s="64" t="s">
        <v>60</v>
      </c>
      <c r="D59" s="318"/>
      <c r="E59" s="319"/>
      <c r="F59" s="352" t="s">
        <v>71</v>
      </c>
      <c r="G59" s="335"/>
      <c r="H59" s="335"/>
      <c r="I59" s="335"/>
      <c r="J59" s="336"/>
      <c r="K59" s="336"/>
      <c r="L59" s="80"/>
    </row>
    <row r="60" spans="1:12" ht="20.100000000000001" customHeight="1" outlineLevel="1" x14ac:dyDescent="0.3">
      <c r="A60" s="405">
        <v>37</v>
      </c>
      <c r="B60" s="511"/>
      <c r="C60" s="64" t="s">
        <v>61</v>
      </c>
      <c r="D60" s="318"/>
      <c r="E60" s="319"/>
      <c r="F60" s="352" t="s">
        <v>72</v>
      </c>
      <c r="G60" s="335"/>
      <c r="H60" s="335"/>
      <c r="I60" s="335"/>
      <c r="J60" s="336"/>
      <c r="K60" s="336"/>
      <c r="L60" s="80"/>
    </row>
    <row r="61" spans="1:12" ht="39.9" customHeight="1" outlineLevel="1" x14ac:dyDescent="0.3">
      <c r="A61" s="405">
        <v>38</v>
      </c>
      <c r="B61" s="511"/>
      <c r="C61" s="64" t="s">
        <v>62</v>
      </c>
      <c r="D61" s="318"/>
      <c r="E61" s="319"/>
      <c r="F61" s="352" t="s">
        <v>73</v>
      </c>
      <c r="G61" s="335"/>
      <c r="H61" s="335"/>
      <c r="I61" s="335"/>
      <c r="J61" s="336"/>
      <c r="K61" s="336"/>
      <c r="L61" s="80"/>
    </row>
    <row r="62" spans="1:12" ht="15.6" customHeight="1" outlineLevel="1" x14ac:dyDescent="0.3">
      <c r="A62" s="405"/>
      <c r="B62" s="511"/>
      <c r="C62" s="498" t="s">
        <v>159</v>
      </c>
      <c r="D62" s="499"/>
      <c r="E62" s="500"/>
      <c r="F62" s="353"/>
      <c r="G62" s="354" t="str">
        <f>IF(SUM(G53:G61)&gt;0,SUM(G53:G61),"")</f>
        <v/>
      </c>
      <c r="H62" s="354" t="str">
        <f>IF(SUM(H53:H61)&gt;0,SUM(H53:H61),"")</f>
        <v/>
      </c>
      <c r="I62" s="354" t="str">
        <f>IF(SUM(I53:I61)&gt;0,SUM(I53:I61),"")</f>
        <v/>
      </c>
      <c r="J62" s="355"/>
      <c r="K62" s="355"/>
      <c r="L62" s="91"/>
    </row>
    <row r="63" spans="1:12" ht="15.6" customHeight="1" outlineLevel="1" x14ac:dyDescent="0.3">
      <c r="A63" s="405"/>
      <c r="B63" s="511"/>
      <c r="C63" s="498" t="s">
        <v>192</v>
      </c>
      <c r="D63" s="499"/>
      <c r="E63" s="500"/>
      <c r="F63" s="353"/>
      <c r="G63" s="356" t="str">
        <f>IF(SUM(G53:G61)&gt;0,SUMPRODUCT((G53:G61)*VLOOKUP(2012,BPI[],2,FALSE)/VLOOKUP(G51,BPI[],2,FALSE),Abschreibung[Annuitäten-faktor '[1/a']])/G72,"")</f>
        <v/>
      </c>
      <c r="H63" s="356" t="str">
        <f>IF(SUM(H53:H61)&gt;0,SUMPRODUCT((H53:H61)*VLOOKUP(2012,BPI[],2,FALSE)/VLOOKUP(H51,BPI[],2,FALSE),Abschreibung[Annuitäten-faktor '[1/a']])/H72,"")</f>
        <v/>
      </c>
      <c r="I63" s="356" t="str">
        <f>IF(SUM(I53:I61)&gt;0,SUMPRODUCT((I53:I61)*VLOOKUP(2012,BPI[],2,FALSE)/VLOOKUP(I51,BPI[],2,FALSE),Abschreibung[Annuitäten-faktor '[1/a']])/I72,"")</f>
        <v/>
      </c>
      <c r="J63" s="357"/>
      <c r="K63" s="357"/>
      <c r="L63" s="92"/>
    </row>
    <row r="64" spans="1:12" ht="18.600000000000001" outlineLevel="1" x14ac:dyDescent="0.3">
      <c r="A64" s="406"/>
      <c r="E64" s="278"/>
      <c r="F64" s="209"/>
      <c r="G64" s="304"/>
      <c r="H64" s="71"/>
      <c r="I64" s="71"/>
      <c r="J64" s="76"/>
      <c r="K64" s="76"/>
      <c r="L64" s="76"/>
    </row>
    <row r="65" spans="1:27" ht="39.9" customHeight="1" outlineLevel="1" x14ac:dyDescent="0.3">
      <c r="A65" s="405">
        <v>39</v>
      </c>
      <c r="B65" s="510" t="s">
        <v>383</v>
      </c>
      <c r="C65" s="512" t="s">
        <v>262</v>
      </c>
      <c r="D65" s="513"/>
      <c r="E65" s="514"/>
      <c r="F65" s="334"/>
      <c r="G65" s="335"/>
      <c r="H65" s="335"/>
      <c r="I65" s="335"/>
      <c r="J65" s="336"/>
      <c r="K65" s="336"/>
      <c r="L65" s="80"/>
      <c r="O65" s="93"/>
    </row>
    <row r="66" spans="1:27" ht="20.100000000000001" hidden="1" customHeight="1" outlineLevel="2" x14ac:dyDescent="0.3">
      <c r="A66" s="405"/>
      <c r="B66" s="511"/>
      <c r="C66" s="507" t="s">
        <v>261</v>
      </c>
      <c r="D66" s="508"/>
      <c r="E66" s="509"/>
      <c r="F66" s="353"/>
      <c r="G66" s="358" t="str">
        <f>IF(G65&lt;&gt;"",G65*VLOOKUP(2012,BPI[],2,FALSE)/VLOOKUP(G51,BPI[],2,FALSE),IF(SUM(G54:G61)&gt;0,SUM(G54:G61)*VLOOKUP($G$27,Parameter!$F$73:$N$78,6,FALSE)*VLOOKUP(2012,BPI[],2,FALSE)/VLOOKUP(G51,BPI[],2,FALSE),""))</f>
        <v/>
      </c>
      <c r="H66" s="358" t="str">
        <f>IF(H65&lt;&gt;"",H65*VLOOKUP(2012,BPI[],2,FALSE)/VLOOKUP(H51,BPI[],2,FALSE),IF(SUM(H54:H61)&gt;0,SUM(H54:H61)*VLOOKUP($G$27,Parameter!$F$73:$N$78,6,FALSE)*VLOOKUP(2012,BPI[],2,FALSE)/VLOOKUP(H51,BPI[],2,FALSE),""))</f>
        <v/>
      </c>
      <c r="I66" s="358" t="str">
        <f>IF(I65&lt;&gt;"",I65*VLOOKUP(2012,BPI[],2,FALSE)/VLOOKUP(I51,BPI[],2,FALSE),IF(SUM(I54:I61)&gt;0,SUM(I54:I61)*VLOOKUP($G$27,Parameter!$F$73:$N$78,6,FALSE)*VLOOKUP(2012,BPI[],2,FALSE)/VLOOKUP(I51,BPI[],2,FALSE),""))</f>
        <v/>
      </c>
      <c r="J66" s="355"/>
      <c r="K66" s="355"/>
      <c r="L66" s="91"/>
      <c r="O66" s="93"/>
    </row>
    <row r="67" spans="1:27" ht="39.9" hidden="1" customHeight="1" outlineLevel="2" x14ac:dyDescent="0.3">
      <c r="A67" s="405"/>
      <c r="B67" s="511"/>
      <c r="C67" s="507" t="s">
        <v>222</v>
      </c>
      <c r="D67" s="508"/>
      <c r="E67" s="509"/>
      <c r="F67" s="353"/>
      <c r="G67" s="358" t="str">
        <f>IF(G66&lt;&gt;"",G66*(1+Parameter!$J$121)^(VLOOKUP($G$27,Parameter!$F$73:$N$78,9,FALSE)/12),"")</f>
        <v/>
      </c>
      <c r="H67" s="358" t="str">
        <f>IF(H66&lt;&gt;"",H66*(1+Parameter!$J$121)^(VLOOKUP($G$27,Parameter!$F$73:$N$78,9,FALSE)/12),"")</f>
        <v/>
      </c>
      <c r="I67" s="358" t="str">
        <f>IF(I66&lt;&gt;"",I66*(1+Parameter!$J$121)^(VLOOKUP($G$27,Parameter!$F$73:$N$78,9,FALSE)/12),"")</f>
        <v/>
      </c>
      <c r="J67" s="355"/>
      <c r="K67" s="355"/>
      <c r="L67" s="91"/>
    </row>
    <row r="68" spans="1:27" ht="39.9" hidden="1" customHeight="1" outlineLevel="2" x14ac:dyDescent="0.3">
      <c r="A68" s="405"/>
      <c r="B68" s="511"/>
      <c r="C68" s="507" t="s">
        <v>450</v>
      </c>
      <c r="D68" s="499"/>
      <c r="E68" s="500"/>
      <c r="F68" s="353"/>
      <c r="G68" s="358" t="str">
        <f>IF(G67&lt;&gt;"",G67*G$63,"")</f>
        <v/>
      </c>
      <c r="H68" s="358" t="str">
        <f t="shared" ref="H68:I68" si="0">IF(H67&lt;&gt;"",H67*H$63,"")</f>
        <v/>
      </c>
      <c r="I68" s="358" t="str">
        <f t="shared" si="0"/>
        <v/>
      </c>
      <c r="J68" s="355"/>
      <c r="K68" s="355"/>
      <c r="L68" s="91"/>
    </row>
    <row r="69" spans="1:27" ht="39.9" hidden="1" customHeight="1" outlineLevel="2" x14ac:dyDescent="0.3">
      <c r="A69" s="405"/>
      <c r="B69" s="511"/>
      <c r="C69" s="507" t="s">
        <v>451</v>
      </c>
      <c r="D69" s="499"/>
      <c r="E69" s="500"/>
      <c r="F69" s="353"/>
      <c r="G69" s="354" t="str">
        <f>IF(G53&lt;&gt;"",G53*VLOOKUP(2012,BPI[],2,FALSE)/VLOOKUP(G51,BPI[],2,FALSE),"")</f>
        <v/>
      </c>
      <c r="H69" s="358" t="str">
        <f>IF(H53&lt;&gt;"",H53*VLOOKUP(2012,BPI[],2,FALSE)/VLOOKUP(H51,BPI[],2,FALSE),"")</f>
        <v/>
      </c>
      <c r="I69" s="358" t="str">
        <f>IF(I53&lt;&gt;"",I53*VLOOKUP(2012,BPI[],2,FALSE)/VLOOKUP(I51,BPI[],2,FALSE),"")</f>
        <v/>
      </c>
      <c r="J69" s="355"/>
      <c r="K69" s="355"/>
      <c r="L69" s="91"/>
    </row>
    <row r="70" spans="1:27" ht="39.9" hidden="1" customHeight="1" outlineLevel="2" x14ac:dyDescent="0.3">
      <c r="A70" s="405"/>
      <c r="B70" s="511"/>
      <c r="C70" s="507" t="s">
        <v>220</v>
      </c>
      <c r="D70" s="508"/>
      <c r="E70" s="509"/>
      <c r="F70" s="353"/>
      <c r="G70" s="354" t="str">
        <f>IF(G69&lt;&gt;"",G69*(1+Parameter!$J$121)^(G40/12),"")</f>
        <v/>
      </c>
      <c r="H70" s="358" t="str">
        <f>IF(H69&lt;&gt;"",H69*(1+Parameter!$J$121)^(H40/12),"")</f>
        <v/>
      </c>
      <c r="I70" s="358" t="str">
        <f>IF(I69&lt;&gt;"",I69*(1+Parameter!$J$121)^(I40/12),"")</f>
        <v/>
      </c>
      <c r="J70" s="355"/>
      <c r="K70" s="355"/>
      <c r="L70" s="91"/>
    </row>
    <row r="71" spans="1:27" ht="39.9" hidden="1" customHeight="1" outlineLevel="2" x14ac:dyDescent="0.3">
      <c r="A71" s="405"/>
      <c r="B71" s="511"/>
      <c r="C71" s="507" t="s">
        <v>285</v>
      </c>
      <c r="D71" s="508"/>
      <c r="E71" s="509"/>
      <c r="F71" s="353"/>
      <c r="G71" s="354" t="str">
        <f>IF(G70&lt;&gt;"",G70*G$63,"")</f>
        <v/>
      </c>
      <c r="H71" s="358" t="str">
        <f t="shared" ref="H71:I71" si="1">IF(H70&lt;&gt;"",H70*H$63,"")</f>
        <v/>
      </c>
      <c r="I71" s="358" t="str">
        <f t="shared" si="1"/>
        <v/>
      </c>
      <c r="J71" s="355"/>
      <c r="K71" s="355"/>
      <c r="L71" s="91"/>
    </row>
    <row r="72" spans="1:27" ht="20.100000000000001" hidden="1" customHeight="1" outlineLevel="2" x14ac:dyDescent="0.3">
      <c r="A72" s="405"/>
      <c r="B72" s="511"/>
      <c r="C72" s="498" t="s">
        <v>194</v>
      </c>
      <c r="D72" s="499"/>
      <c r="E72" s="500"/>
      <c r="F72" s="353"/>
      <c r="G72" s="354" t="str">
        <f>IF(SUM(G54:G61)&gt;0,SUM(G54:G61)*VLOOKUP(2012,BPI[],2,FALSE)/VLOOKUP(G51,BPI[],2,FALSE),"")</f>
        <v/>
      </c>
      <c r="H72" s="358" t="str">
        <f>IF(SUM(H54:H61)&gt;0,SUM(H54:H61)*VLOOKUP(2012,BPI[],2,FALSE)/VLOOKUP(H51,BPI[],2,FALSE),"")</f>
        <v/>
      </c>
      <c r="I72" s="358" t="str">
        <f>IF(SUM(I54:I61)&gt;0,SUM(I54:I61)*VLOOKUP(2012,BPI[],2,FALSE)/VLOOKUP(I51,BPI[],2,FALSE),"")</f>
        <v/>
      </c>
      <c r="J72" s="355"/>
      <c r="K72" s="355"/>
      <c r="L72" s="91"/>
    </row>
    <row r="73" spans="1:27" ht="20.100000000000001" hidden="1" customHeight="1" outlineLevel="2" x14ac:dyDescent="0.3">
      <c r="A73" s="405"/>
      <c r="B73" s="511"/>
      <c r="C73" s="498" t="s">
        <v>221</v>
      </c>
      <c r="D73" s="499"/>
      <c r="E73" s="500"/>
      <c r="F73" s="353"/>
      <c r="G73" s="354" t="str">
        <f>IF(SUM(G54:G61)&gt;0,G72*(1+Parameter!$J$121)^(G40/12),"")</f>
        <v/>
      </c>
      <c r="H73" s="358" t="str">
        <f>IF(SUM(H54:H61)&gt;0,H72*(1+Parameter!$J$121)^(H40/12),"")</f>
        <v/>
      </c>
      <c r="I73" s="358" t="str">
        <f>IF(SUM(I54:I61)&gt;0,I72*(1+Parameter!$J$121)^(I40/12),"")</f>
        <v/>
      </c>
      <c r="J73" s="355"/>
      <c r="K73" s="355"/>
      <c r="L73" s="91"/>
    </row>
    <row r="74" spans="1:27" ht="39.9" hidden="1" customHeight="1" outlineLevel="2" x14ac:dyDescent="0.3">
      <c r="A74" s="405"/>
      <c r="B74" s="511"/>
      <c r="C74" s="507" t="s">
        <v>286</v>
      </c>
      <c r="D74" s="508"/>
      <c r="E74" s="509"/>
      <c r="F74" s="359"/>
      <c r="G74" s="360" t="str">
        <f>IF(G73&lt;&gt;"",G73*G$63,"")</f>
        <v/>
      </c>
      <c r="H74" s="361" t="str">
        <f t="shared" ref="H74:I74" si="2">IF(H73&lt;&gt;"",H73*H$63,"")</f>
        <v/>
      </c>
      <c r="I74" s="361" t="str">
        <f t="shared" si="2"/>
        <v/>
      </c>
      <c r="J74" s="362"/>
      <c r="K74" s="362"/>
      <c r="L74" s="94"/>
    </row>
    <row r="75" spans="1:27" ht="18.600000000000001" hidden="1" outlineLevel="2" collapsed="1" x14ac:dyDescent="0.3">
      <c r="A75" s="406"/>
      <c r="E75" s="278"/>
      <c r="F75" s="209"/>
      <c r="G75" s="304"/>
      <c r="H75" s="71"/>
      <c r="I75" s="71"/>
      <c r="J75" s="76"/>
      <c r="K75" s="76"/>
      <c r="L75" s="76"/>
    </row>
    <row r="76" spans="1:27" ht="34.5" hidden="1" customHeight="1" outlineLevel="2" x14ac:dyDescent="0.3">
      <c r="A76" s="405"/>
      <c r="B76" s="287" t="s">
        <v>100</v>
      </c>
      <c r="C76" s="512"/>
      <c r="D76" s="513"/>
      <c r="E76" s="514"/>
      <c r="F76" s="363"/>
      <c r="G76" s="75" t="str">
        <f>IF(G26="X",IF(G$31&lt;&gt;"",G$31,G$29),"")</f>
        <v>Konventioneller Ausbau</v>
      </c>
      <c r="H76" s="75" t="str">
        <f>IF(H26="X",IF(H$31&lt;&gt;"",H$31,H$29),"")</f>
        <v>Kolonnenparken</v>
      </c>
      <c r="I76" s="88" t="str">
        <f>IF(I26="X",IF(I$31&lt;&gt;"",I$31,I$29),"")</f>
        <v>Kompaktparken</v>
      </c>
      <c r="J76" s="89"/>
      <c r="K76" s="89"/>
      <c r="L76" s="89"/>
    </row>
    <row r="77" spans="1:27" ht="5.7" hidden="1" customHeight="1" outlineLevel="2" x14ac:dyDescent="0.3">
      <c r="A77" s="406"/>
      <c r="E77" s="278"/>
      <c r="F77" s="364"/>
      <c r="G77" s="345"/>
      <c r="H77" s="345"/>
      <c r="I77" s="345"/>
      <c r="J77" s="365"/>
      <c r="K77" s="365"/>
      <c r="L77" s="95"/>
    </row>
    <row r="78" spans="1:27" ht="5.7" hidden="1" customHeight="1" outlineLevel="2" x14ac:dyDescent="0.3">
      <c r="A78" s="406"/>
      <c r="E78" s="278"/>
      <c r="F78" s="366"/>
      <c r="G78" s="98"/>
      <c r="H78" s="98"/>
      <c r="I78" s="98"/>
      <c r="J78" s="365"/>
      <c r="K78" s="365"/>
      <c r="L78" s="95"/>
    </row>
    <row r="79" spans="1:27" ht="20.100000000000001" hidden="1" customHeight="1" outlineLevel="2" x14ac:dyDescent="0.3">
      <c r="A79" s="405"/>
      <c r="B79" s="367" t="s">
        <v>280</v>
      </c>
      <c r="C79" s="507" t="s">
        <v>47</v>
      </c>
      <c r="D79" s="508"/>
      <c r="E79" s="509"/>
      <c r="F79" s="353"/>
      <c r="G79" s="354" t="str">
        <f>IF(AND(G$34&lt;&gt;" ",SUM(G$53:G$61)&gt;0),(G$34-$G$20)*Parameter!$J$67," ")</f>
        <v xml:space="preserve"> </v>
      </c>
      <c r="H79" s="354" t="str">
        <f>IF(AND(H$34&lt;&gt;" ",SUM(H$53:H$61)&gt;0),(H$34-$G$20)*Parameter!$J$67," ")</f>
        <v xml:space="preserve"> </v>
      </c>
      <c r="I79" s="354" t="str">
        <f>IF(AND(I$34&lt;&gt;" ",SUM(I$53:I$61)&gt;0),(I$34-$G$20)*Parameter!$J$67," ")</f>
        <v xml:space="preserve"> </v>
      </c>
      <c r="J79" s="368"/>
      <c r="K79" s="368"/>
      <c r="L79" s="96"/>
    </row>
    <row r="80" spans="1:27" ht="5.7" hidden="1" customHeight="1" outlineLevel="2" x14ac:dyDescent="0.3">
      <c r="A80" s="406"/>
      <c r="E80" s="278"/>
      <c r="F80" s="366"/>
      <c r="G80" s="325"/>
      <c r="H80" s="325"/>
      <c r="I80" s="325"/>
      <c r="J80" s="326"/>
      <c r="K80" s="326"/>
      <c r="L80" s="77"/>
      <c r="N80" s="2" t="s">
        <v>25</v>
      </c>
      <c r="O80" s="2" t="s">
        <v>26</v>
      </c>
      <c r="P80" s="2" t="s">
        <v>25</v>
      </c>
      <c r="Q80" s="2" t="s">
        <v>26</v>
      </c>
      <c r="R80" s="2" t="s">
        <v>25</v>
      </c>
      <c r="S80" s="2" t="s">
        <v>26</v>
      </c>
      <c r="T80" s="2" t="s">
        <v>25</v>
      </c>
      <c r="U80" s="2" t="s">
        <v>26</v>
      </c>
      <c r="V80" s="2" t="s">
        <v>25</v>
      </c>
      <c r="W80" s="2" t="s">
        <v>26</v>
      </c>
      <c r="X80" s="2" t="s">
        <v>25</v>
      </c>
      <c r="Y80" s="2" t="s">
        <v>26</v>
      </c>
      <c r="Z80" s="2" t="s">
        <v>25</v>
      </c>
      <c r="AA80" s="2" t="s">
        <v>26</v>
      </c>
    </row>
    <row r="81" spans="1:27" ht="20.100000000000001" hidden="1" customHeight="1" outlineLevel="2" x14ac:dyDescent="0.3">
      <c r="A81" s="405"/>
      <c r="B81" s="369" t="s">
        <v>92</v>
      </c>
      <c r="C81" s="507" t="s">
        <v>48</v>
      </c>
      <c r="D81" s="508"/>
      <c r="E81" s="509"/>
      <c r="F81" s="353"/>
      <c r="G81" s="354" t="str">
        <f>IF(SUM(G53:G61)&gt;0,IF(G33=0,0,(G38/G33*(G56+G61))),"")</f>
        <v/>
      </c>
      <c r="H81" s="354" t="str">
        <f>IF(SUM(H53:H61)&gt;0,IF(H33=0,0,(H38/H33*(H56+H61))),"")</f>
        <v/>
      </c>
      <c r="I81" s="354" t="str">
        <f>IF(SUM(I53:I61)&gt;0,IF(I33=0,0,(I38/I33*(I56+I61))),"")</f>
        <v/>
      </c>
      <c r="J81" s="370"/>
      <c r="K81" s="370"/>
      <c r="L81" s="97"/>
    </row>
    <row r="82" spans="1:27" ht="5.7" hidden="1" customHeight="1" outlineLevel="2" x14ac:dyDescent="0.3">
      <c r="A82" s="406"/>
      <c r="E82" s="278"/>
      <c r="F82" s="366"/>
      <c r="G82" s="325"/>
      <c r="H82" s="325"/>
      <c r="I82" s="325"/>
      <c r="J82" s="326"/>
      <c r="K82" s="326"/>
      <c r="L82" s="77"/>
    </row>
    <row r="83" spans="1:27" ht="39.9" hidden="1" customHeight="1" outlineLevel="2" x14ac:dyDescent="0.3">
      <c r="A83" s="405"/>
      <c r="B83" s="327" t="s">
        <v>385</v>
      </c>
      <c r="C83" s="507" t="s">
        <v>205</v>
      </c>
      <c r="D83" s="508"/>
      <c r="E83" s="509"/>
      <c r="F83" s="371" t="s">
        <v>46</v>
      </c>
      <c r="G83" s="354" t="str">
        <f>IFERROR(IF(G63&gt;0,-1*(G40/12*G41*Parameter!$J$69+G42+G43+G44)*G63,""),"")</f>
        <v/>
      </c>
      <c r="H83" s="354" t="str">
        <f>IFERROR(IF(H63&gt;0,-1*(H40/12*H41*Parameter!$J$69+H42+H43+H44)*H63,""),"")</f>
        <v/>
      </c>
      <c r="I83" s="354" t="str">
        <f>IFERROR(IF(I63&gt;0,-1*(I40/12*I41*Parameter!$J$69+I42+I43+I44)*I63,""),"")</f>
        <v/>
      </c>
      <c r="J83" s="370"/>
      <c r="K83" s="370"/>
      <c r="L83" s="97"/>
      <c r="N83" s="515"/>
      <c r="O83" s="515"/>
      <c r="P83" s="515"/>
      <c r="Q83" s="515"/>
      <c r="R83" s="515"/>
      <c r="S83" s="515"/>
      <c r="T83" s="515"/>
      <c r="U83" s="515"/>
      <c r="V83" s="515"/>
      <c r="W83" s="515"/>
      <c r="X83" s="515"/>
      <c r="Y83" s="515"/>
      <c r="Z83" s="515"/>
      <c r="AA83" s="515"/>
    </row>
    <row r="84" spans="1:27" ht="5.7" hidden="1" customHeight="1" outlineLevel="2" x14ac:dyDescent="0.3">
      <c r="A84" s="406"/>
      <c r="E84" s="278"/>
      <c r="F84" s="372" t="s">
        <v>111</v>
      </c>
      <c r="G84" s="325"/>
      <c r="H84" s="325"/>
      <c r="I84" s="325"/>
      <c r="J84" s="326"/>
      <c r="K84" s="326"/>
      <c r="L84" s="77"/>
    </row>
    <row r="85" spans="1:27" ht="39.9" hidden="1" customHeight="1" outlineLevel="2" x14ac:dyDescent="0.3">
      <c r="A85" s="405"/>
      <c r="B85" s="327" t="s">
        <v>386</v>
      </c>
      <c r="C85" s="507" t="s">
        <v>181</v>
      </c>
      <c r="D85" s="508"/>
      <c r="E85" s="509"/>
      <c r="F85" s="371" t="s">
        <v>112</v>
      </c>
      <c r="G85" s="354" t="str">
        <f>IF(SUM(G53:G61)&gt;0,Betriebskosten!C35,"")</f>
        <v/>
      </c>
      <c r="H85" s="354" t="str">
        <f>IF(SUM(H53:H61)&gt;0,Betriebskosten!I35,"")</f>
        <v/>
      </c>
      <c r="I85" s="354" t="str">
        <f>IF(SUM(I53:I61)&gt;0,Betriebskosten!L35,"")</f>
        <v/>
      </c>
      <c r="J85" s="370"/>
      <c r="K85" s="370"/>
      <c r="L85" s="97"/>
      <c r="N85" s="515"/>
      <c r="O85" s="515"/>
      <c r="P85" s="515"/>
      <c r="Q85" s="515"/>
      <c r="R85" s="515"/>
      <c r="S85" s="515"/>
      <c r="T85" s="515"/>
      <c r="U85" s="515"/>
      <c r="V85" s="515"/>
      <c r="W85" s="515"/>
      <c r="X85" s="515"/>
      <c r="Y85" s="515"/>
      <c r="Z85" s="515"/>
      <c r="AA85" s="515"/>
    </row>
    <row r="86" spans="1:27" ht="5.7" hidden="1" customHeight="1" outlineLevel="2" x14ac:dyDescent="0.3">
      <c r="A86" s="406"/>
      <c r="E86" s="278"/>
      <c r="F86" s="372" t="s">
        <v>301</v>
      </c>
      <c r="G86" s="325"/>
      <c r="H86" s="325"/>
      <c r="I86" s="325"/>
      <c r="J86" s="326"/>
      <c r="K86" s="326"/>
      <c r="L86" s="77"/>
    </row>
    <row r="87" spans="1:27" ht="39.9" hidden="1" customHeight="1" outlineLevel="2" x14ac:dyDescent="0.3">
      <c r="A87" s="405"/>
      <c r="B87" s="327" t="s">
        <v>170</v>
      </c>
      <c r="C87" s="507" t="s">
        <v>193</v>
      </c>
      <c r="D87" s="508"/>
      <c r="E87" s="509"/>
      <c r="F87" s="474"/>
      <c r="G87" s="354" t="str">
        <f>IF(AND(G34&lt;&gt;"",SUM(G53:G61)&gt;0),'weitere Nutzen RWS'!D30,"0")</f>
        <v>0</v>
      </c>
      <c r="H87" s="354" t="str">
        <f>IF(SUM(H53:H61)&gt;0,'weitere Nutzen RWS'!E30,"")</f>
        <v/>
      </c>
      <c r="I87" s="354" t="str">
        <f>IF(SUM(I53:I61)&gt;0,'weitere Nutzen RWS'!F30,"")</f>
        <v/>
      </c>
      <c r="J87" s="370"/>
      <c r="K87" s="370"/>
      <c r="L87" s="97"/>
      <c r="N87" s="515"/>
      <c r="O87" s="515"/>
      <c r="P87" s="515"/>
      <c r="Q87" s="515"/>
      <c r="R87" s="515"/>
      <c r="S87" s="515"/>
      <c r="T87" s="515"/>
      <c r="U87" s="515"/>
      <c r="V87" s="515"/>
      <c r="W87" s="515"/>
      <c r="X87" s="515"/>
      <c r="Y87" s="515"/>
      <c r="Z87" s="515"/>
      <c r="AA87" s="515"/>
    </row>
    <row r="88" spans="1:27" ht="18.600000000000001" outlineLevel="1" collapsed="1" x14ac:dyDescent="0.3">
      <c r="A88" s="406"/>
      <c r="E88" s="278"/>
      <c r="F88" s="475"/>
      <c r="G88" s="373"/>
      <c r="H88" s="98"/>
      <c r="I88" s="98"/>
      <c r="J88" s="99"/>
      <c r="K88" s="99"/>
      <c r="L88" s="99"/>
    </row>
    <row r="89" spans="1:27" ht="35.1" customHeight="1" x14ac:dyDescent="0.3">
      <c r="A89" s="407"/>
      <c r="B89" s="287" t="s">
        <v>372</v>
      </c>
      <c r="C89" s="321" t="s">
        <v>452</v>
      </c>
      <c r="D89" s="318"/>
      <c r="E89" s="319"/>
      <c r="F89" s="473"/>
      <c r="G89" s="75" t="str">
        <f>IF(G26="X",IF(G$31&lt;&gt;"",G$31,G$29),"")</f>
        <v>Konventioneller Ausbau</v>
      </c>
      <c r="H89" s="88" t="str">
        <f>IF(H26="X",IF(H$31&lt;&gt;"",H$31,H$29),"")</f>
        <v>Kolonnenparken</v>
      </c>
      <c r="I89" s="88" t="str">
        <f>IF(I26="X",IF(I$31&lt;&gt;"",I$31,I$29),"")</f>
        <v>Kompaktparken</v>
      </c>
      <c r="J89" s="374">
        <v>1</v>
      </c>
      <c r="K89" s="89"/>
      <c r="L89" s="89"/>
    </row>
    <row r="90" spans="1:27" ht="5.7" customHeight="1" x14ac:dyDescent="0.3">
      <c r="A90" s="406"/>
      <c r="E90" s="278"/>
      <c r="F90" s="475"/>
      <c r="G90" s="98"/>
      <c r="H90" s="98"/>
      <c r="I90" s="345"/>
      <c r="J90" s="346"/>
      <c r="K90" s="346"/>
      <c r="L90" s="95"/>
    </row>
    <row r="91" spans="1:27" ht="15.6" customHeight="1" x14ac:dyDescent="0.3">
      <c r="A91" s="405">
        <v>40</v>
      </c>
      <c r="B91" s="375" t="s">
        <v>399</v>
      </c>
      <c r="C91" s="498" t="s">
        <v>30</v>
      </c>
      <c r="D91" s="499"/>
      <c r="E91" s="500"/>
      <c r="F91" s="470"/>
      <c r="G91" s="354" t="str">
        <f t="shared" ref="G91" si="3">IF(AND(G$34&lt;&gt;"",SUM(G$53:G$61)&gt;0),G$68+G$71+G$74," ")</f>
        <v xml:space="preserve"> </v>
      </c>
      <c r="H91" s="354" t="str">
        <f>IF(AND(H$34&lt;&gt;"",SUM(H$53:H$61)&gt;0),H$68+H$71+H$74," ")</f>
        <v xml:space="preserve"> </v>
      </c>
      <c r="I91" s="354" t="str">
        <f>IF(AND(I$34&lt;&gt;"",SUM(I$53:I$61)&gt;0),I$68+I$71+I$74," ")</f>
        <v xml:space="preserve"> </v>
      </c>
      <c r="J91" s="370"/>
      <c r="K91" s="376"/>
      <c r="L91" s="100"/>
    </row>
    <row r="92" spans="1:27" ht="5.7" customHeight="1" x14ac:dyDescent="0.3">
      <c r="A92" s="406"/>
      <c r="C92" s="101"/>
      <c r="D92" s="101"/>
      <c r="E92" s="377"/>
      <c r="F92" s="475"/>
      <c r="G92" s="378"/>
      <c r="H92" s="379"/>
      <c r="I92" s="379"/>
      <c r="J92" s="380"/>
      <c r="K92" s="381"/>
      <c r="L92" s="102"/>
    </row>
    <row r="93" spans="1:27" ht="15.6" customHeight="1" x14ac:dyDescent="0.3">
      <c r="A93" s="405">
        <v>41</v>
      </c>
      <c r="B93" s="375" t="s">
        <v>400</v>
      </c>
      <c r="C93" s="498" t="s">
        <v>31</v>
      </c>
      <c r="D93" s="499"/>
      <c r="E93" s="500"/>
      <c r="F93" s="470"/>
      <c r="G93" s="354" t="str">
        <f>IF(AND(G$34&lt;&gt;"",SUM(G$53:G$61)&gt;0),G$79+G$81+G$83+G$85+G$87," ")</f>
        <v xml:space="preserve"> </v>
      </c>
      <c r="H93" s="354" t="str">
        <f>IF(AND(H$34&lt;&gt;"",SUM(H$53:H$61)&gt;0),H$79+H$81+H$83+H$85+H$87," ")</f>
        <v xml:space="preserve"> </v>
      </c>
      <c r="I93" s="354" t="str">
        <f>IF(AND(I$34&lt;&gt;"",SUM(I$53:I$61)&gt;0),I$79+I$81+I$83+I$85+I$87," ")</f>
        <v xml:space="preserve"> </v>
      </c>
      <c r="J93" s="370"/>
      <c r="K93" s="103"/>
      <c r="L93" s="103"/>
      <c r="M93" s="103"/>
    </row>
    <row r="94" spans="1:27" ht="5.7" customHeight="1" thickBot="1" x14ac:dyDescent="0.35">
      <c r="A94" s="406"/>
      <c r="C94" s="101"/>
      <c r="D94" s="101"/>
      <c r="E94" s="377"/>
      <c r="F94" s="475"/>
      <c r="G94" s="378"/>
      <c r="H94" s="382"/>
      <c r="I94" s="382"/>
      <c r="J94" s="383"/>
      <c r="K94" s="383"/>
      <c r="L94" s="104"/>
    </row>
    <row r="95" spans="1:27" ht="20.100000000000001" hidden="1" customHeight="1" outlineLevel="1" x14ac:dyDescent="0.3">
      <c r="A95" s="405"/>
      <c r="B95" s="375" t="s">
        <v>387</v>
      </c>
      <c r="C95" s="501" t="s">
        <v>28</v>
      </c>
      <c r="D95" s="502"/>
      <c r="E95" s="503"/>
      <c r="F95" s="476"/>
      <c r="G95" s="384" t="str">
        <f t="shared" ref="G95" si="4">IF(AND(G91&lt;&gt;" ",G$26="X"),G93/G91,"")</f>
        <v/>
      </c>
      <c r="H95" s="384" t="str">
        <f>IF(AND(H91&lt;&gt;" ",H$26="X"),H93/H91,"")</f>
        <v/>
      </c>
      <c r="I95" s="384" t="str">
        <f>IF(AND(I91&lt;&gt;" ",I$26="X"),I93/I91,"")</f>
        <v/>
      </c>
      <c r="J95" s="385"/>
      <c r="K95" s="385"/>
      <c r="L95" s="105"/>
    </row>
    <row r="96" spans="1:27" ht="20.100000000000001" hidden="1" customHeight="1" outlineLevel="1" x14ac:dyDescent="0.3">
      <c r="A96" s="405"/>
      <c r="B96" s="386"/>
      <c r="C96" s="507" t="s">
        <v>283</v>
      </c>
      <c r="D96" s="508"/>
      <c r="E96" s="509"/>
      <c r="F96" s="470"/>
      <c r="G96" s="387" t="str">
        <f>IF(AND(G$26="X",G$91&lt;&gt;" "),G$79/G$91,"")</f>
        <v/>
      </c>
      <c r="H96" s="387" t="str">
        <f>IF(AND(H$26="X",H$91&lt;&gt;" "),H$79/H$91,"")</f>
        <v/>
      </c>
      <c r="I96" s="387" t="str">
        <f>IF(AND(I$26="X",I$91&lt;&gt;" "),I$79/I$91,"")</f>
        <v/>
      </c>
      <c r="J96" s="388"/>
      <c r="K96" s="388"/>
      <c r="L96" s="106"/>
    </row>
    <row r="97" spans="1:14" ht="20.100000000000001" hidden="1" customHeight="1" outlineLevel="1" x14ac:dyDescent="0.3">
      <c r="A97" s="405"/>
      <c r="B97" s="386"/>
      <c r="C97" s="507" t="s">
        <v>232</v>
      </c>
      <c r="D97" s="508"/>
      <c r="E97" s="509"/>
      <c r="F97" s="470"/>
      <c r="G97" s="387" t="str">
        <f>IF(AND(G$26="X",G$91&lt;&gt;" "),G$81/G$91,"")</f>
        <v/>
      </c>
      <c r="H97" s="387" t="str">
        <f>IF(AND(H$26="X",H$91&lt;&gt;" "),H$81/H$91,"")</f>
        <v/>
      </c>
      <c r="I97" s="387" t="str">
        <f>IF(AND(I$26="X",I$91&lt;&gt;" "),I$81/I$91,"")</f>
        <v/>
      </c>
      <c r="J97" s="388"/>
      <c r="K97" s="388"/>
      <c r="L97" s="106"/>
    </row>
    <row r="98" spans="1:14" ht="39.9" hidden="1" customHeight="1" outlineLevel="1" x14ac:dyDescent="0.3">
      <c r="A98" s="405"/>
      <c r="B98" s="386"/>
      <c r="C98" s="507" t="s">
        <v>233</v>
      </c>
      <c r="D98" s="508"/>
      <c r="E98" s="509"/>
      <c r="F98" s="470"/>
      <c r="G98" s="387" t="str">
        <f>IF(AND(G$26="X",G$91&lt;&gt;" "),G$83/G$91,"")</f>
        <v/>
      </c>
      <c r="H98" s="387" t="str">
        <f>IF(AND(H$26="X",H$91&lt;&gt;" "),H$83/H$91,"")</f>
        <v/>
      </c>
      <c r="I98" s="387" t="str">
        <f>IF(AND(I$26="X",I$91&lt;&gt;" "),I$83/I$91,"")</f>
        <v/>
      </c>
      <c r="J98" s="388"/>
      <c r="K98" s="388"/>
      <c r="L98" s="106"/>
    </row>
    <row r="99" spans="1:14" ht="39.9" hidden="1" customHeight="1" outlineLevel="1" x14ac:dyDescent="0.3">
      <c r="A99" s="405"/>
      <c r="B99" s="386"/>
      <c r="C99" s="507" t="s">
        <v>234</v>
      </c>
      <c r="D99" s="508"/>
      <c r="E99" s="509"/>
      <c r="F99" s="470"/>
      <c r="G99" s="387" t="str">
        <f>IF(AND(G$26="X",G$91&lt;&gt;" "),G$85/G$91,"")</f>
        <v/>
      </c>
      <c r="H99" s="387" t="str">
        <f>IF(AND(H$26="X",H$91&lt;&gt;" "),H$85/H$91,"")</f>
        <v/>
      </c>
      <c r="I99" s="387" t="str">
        <f>IF(AND(I$26="X",I$91&lt;&gt;" "),I$85/I$91,"")</f>
        <v/>
      </c>
      <c r="J99" s="388"/>
      <c r="K99" s="388"/>
      <c r="L99" s="106"/>
    </row>
    <row r="100" spans="1:14" ht="39.9" hidden="1" customHeight="1" outlineLevel="1" thickBot="1" x14ac:dyDescent="0.35">
      <c r="A100" s="405"/>
      <c r="B100" s="386"/>
      <c r="C100" s="504" t="s">
        <v>235</v>
      </c>
      <c r="D100" s="505"/>
      <c r="E100" s="506"/>
      <c r="F100" s="470"/>
      <c r="G100" s="389" t="str">
        <f>IF(AND(G$26="X",G$91&lt;&gt;" "),G$87/G$91,"")</f>
        <v/>
      </c>
      <c r="H100" s="389" t="str">
        <f>IF(AND(H$26="X",H$91&lt;&gt;" "),H$87/H$91,"")</f>
        <v/>
      </c>
      <c r="I100" s="389" t="str">
        <f>IF(AND(I$26="X",I$91&lt;&gt;" "),I$87/I$91,"")</f>
        <v/>
      </c>
      <c r="J100" s="390"/>
      <c r="K100" s="388"/>
      <c r="L100" s="106"/>
    </row>
    <row r="101" spans="1:14" s="2" customFormat="1" ht="50.1" hidden="1" customHeight="1" outlineLevel="1" collapsed="1" thickTop="1" thickBot="1" x14ac:dyDescent="0.35">
      <c r="A101" s="407" t="s">
        <v>524</v>
      </c>
      <c r="B101" s="391" t="s">
        <v>367</v>
      </c>
      <c r="C101" s="392" t="s">
        <v>384</v>
      </c>
      <c r="D101" s="393"/>
      <c r="E101" s="394"/>
      <c r="F101" s="493">
        <f>MAX(G101:I101)</f>
        <v>0</v>
      </c>
      <c r="G101" s="395" t="str">
        <f>IF(G$34&lt;&gt;"",ROUND(G$93/G$91,2),"")</f>
        <v/>
      </c>
      <c r="H101" s="395" t="str">
        <f>IF(H$34&lt;&gt;"",ROUND(H$93/H$91,2),"")</f>
        <v/>
      </c>
      <c r="I101" s="395" t="str">
        <f>IF(I$34&lt;&gt;"",ROUND(I$93/I$91,2),"")</f>
        <v/>
      </c>
      <c r="J101" s="495">
        <f>MIN(G101:I101)</f>
        <v>0</v>
      </c>
      <c r="L101" s="107"/>
      <c r="M101" s="108"/>
      <c r="N101" s="109"/>
    </row>
    <row r="102" spans="1:14" s="2" customFormat="1" ht="19.8" hidden="1" outlineLevel="1" thickTop="1" thickBot="1" x14ac:dyDescent="0.35">
      <c r="A102" s="407"/>
      <c r="B102" s="110"/>
      <c r="C102" s="110"/>
      <c r="D102" s="110"/>
      <c r="E102" s="110"/>
      <c r="F102" s="494"/>
      <c r="G102" s="111"/>
      <c r="H102" s="112"/>
      <c r="I102" s="112"/>
      <c r="J102" s="496"/>
      <c r="K102" s="113"/>
      <c r="L102" s="113"/>
      <c r="M102" s="114"/>
      <c r="N102" s="115"/>
    </row>
    <row r="103" spans="1:14" s="93" customFormat="1" ht="50.1" hidden="1" customHeight="1" outlineLevel="1" thickTop="1" thickBot="1" x14ac:dyDescent="0.35">
      <c r="A103" s="407" t="s">
        <v>525</v>
      </c>
      <c r="B103" s="391" t="s">
        <v>410</v>
      </c>
      <c r="C103" s="392" t="s">
        <v>424</v>
      </c>
      <c r="D103" s="393"/>
      <c r="E103" s="394"/>
      <c r="F103" s="493">
        <f>MAX(H103:I103)</f>
        <v>0</v>
      </c>
      <c r="G103" s="396"/>
      <c r="H103" s="395" t="str">
        <f>IF(AND(G34&lt;&gt;"",H$34&lt;&gt;""),(($G$93-H$93)/($G$91-H$91)),"")</f>
        <v/>
      </c>
      <c r="I103" s="395" t="str">
        <f>IF(AND(I$34&lt;&gt;"",G34&lt;&gt;""),(($G$93-I$93)/($G$91-I$91)),"")</f>
        <v/>
      </c>
      <c r="J103" s="495">
        <f>MIN(H103:I103)</f>
        <v>0</v>
      </c>
      <c r="K103" s="113"/>
      <c r="L103" s="116"/>
    </row>
    <row r="104" spans="1:14" s="93" customFormat="1" ht="19.8" hidden="1" outlineLevel="1" thickTop="1" thickBot="1" x14ac:dyDescent="0.35">
      <c r="A104" s="407"/>
      <c r="B104" s="117"/>
      <c r="C104" s="117"/>
      <c r="D104" s="117"/>
      <c r="E104" s="117"/>
      <c r="F104" s="397"/>
      <c r="G104" s="118"/>
      <c r="H104" s="119"/>
      <c r="I104" s="119"/>
      <c r="J104" s="120"/>
      <c r="K104" s="120"/>
      <c r="L104" s="120"/>
    </row>
    <row r="105" spans="1:14" s="124" customFormat="1" ht="50.1" customHeight="1" collapsed="1" thickTop="1" thickBot="1" x14ac:dyDescent="0.35">
      <c r="A105" s="407">
        <v>42</v>
      </c>
      <c r="B105" s="398" t="s">
        <v>372</v>
      </c>
      <c r="C105" s="399" t="s">
        <v>425</v>
      </c>
      <c r="D105" s="121"/>
      <c r="E105" s="122"/>
      <c r="F105" s="471"/>
      <c r="G105" s="401" t="e">
        <f>IF(OR(H101&gt;G101,I101&gt;G101,H101&gt;=1,I101&gt;=1),_xlfn.IFS(H101=F101,IF(H101&gt;=1,H89,"kein Umbau"),I101=F101,IF(I101&gt;=1,I89,"kein Umbau"),F101=G101,IF(AND(OR(I101&gt;=1,H101&gt;=1),G101&gt;=1),_xlfn.IFS(AND(F101=G101,AND(H101&lt;F101,I101&lt;F101,H101&lt;1,I101&lt;1)),G89,AND(I103&gt;=1,F103=I103),I89,AND(H101&gt;=1,H103&gt;=1,F103=H103),H89,AND(H101&lt;1,I101&gt;=1,I101&lt;G101,I103&gt;=1),I89,F103&lt;1,G89),"kein Umbau")),(IF(AND(I101&lt;G101,I103&gt;H103),_xlfn.IFS(I103&gt;=1,I89,I103&lt;1,G89),IF(AND(H101&lt;G101,I103&lt;H103),_xlfn.IFS(AND(H101&gt;=1,H103&gt;=1,H101&lt;G101,G101&gt;=1),H89,AND(H101&lt;1,H101&lt;G101,G101&gt;=1),G89,H103&lt;1,G89)))))</f>
        <v>#N/A</v>
      </c>
      <c r="H105" s="402"/>
      <c r="I105" s="403"/>
      <c r="J105" s="123"/>
    </row>
    <row r="106" spans="1:14" s="124" customFormat="1" ht="50.4" customHeight="1" thickTop="1" x14ac:dyDescent="0.3">
      <c r="B106" s="497"/>
      <c r="C106" s="497"/>
      <c r="D106" s="497"/>
      <c r="E106" s="497"/>
      <c r="F106" s="400"/>
      <c r="G106" s="125"/>
      <c r="H106" s="125"/>
      <c r="I106" s="125"/>
    </row>
    <row r="107" spans="1:14" s="124" customFormat="1" ht="50.4" customHeight="1" x14ac:dyDescent="0.3">
      <c r="B107" s="497"/>
      <c r="C107" s="497"/>
      <c r="D107" s="497"/>
      <c r="E107" s="497"/>
      <c r="F107" s="400"/>
      <c r="G107" s="126"/>
      <c r="H107" s="126"/>
      <c r="I107" s="126"/>
    </row>
    <row r="108" spans="1:14" s="124" customFormat="1" ht="50.4" customHeight="1" x14ac:dyDescent="0.3">
      <c r="B108" s="126"/>
      <c r="C108" s="126"/>
      <c r="D108" s="126"/>
      <c r="E108" s="126"/>
      <c r="F108" s="400"/>
      <c r="G108" s="126"/>
      <c r="H108" s="126"/>
      <c r="I108" s="126"/>
    </row>
    <row r="109" spans="1:14" s="124" customFormat="1" ht="50.4" customHeight="1" x14ac:dyDescent="0.3">
      <c r="B109" s="126"/>
      <c r="C109" s="126"/>
      <c r="D109" s="126"/>
      <c r="E109" s="126"/>
      <c r="F109" s="400"/>
      <c r="G109" s="126"/>
      <c r="H109" s="126"/>
      <c r="I109" s="126"/>
    </row>
    <row r="110" spans="1:14" s="124" customFormat="1" ht="50.4" customHeight="1" x14ac:dyDescent="0.3">
      <c r="B110" s="126"/>
      <c r="C110" s="126"/>
      <c r="D110" s="126"/>
      <c r="E110" s="126"/>
      <c r="F110" s="400"/>
      <c r="G110" s="126"/>
      <c r="H110" s="126"/>
      <c r="I110" s="126"/>
    </row>
    <row r="111" spans="1:14" s="124" customFormat="1" ht="50.4" customHeight="1" x14ac:dyDescent="0.3">
      <c r="B111" s="126"/>
      <c r="C111" s="126"/>
      <c r="D111" s="126"/>
      <c r="E111" s="126"/>
      <c r="F111" s="400"/>
      <c r="G111" s="126"/>
      <c r="H111" s="126"/>
      <c r="I111" s="126"/>
    </row>
    <row r="112" spans="1:14" s="124" customFormat="1" ht="50.4" customHeight="1" x14ac:dyDescent="0.3">
      <c r="B112" s="126"/>
      <c r="C112" s="126"/>
      <c r="D112" s="126"/>
      <c r="E112" s="126"/>
      <c r="F112" s="400"/>
      <c r="G112" s="126"/>
      <c r="H112" s="126"/>
      <c r="I112" s="126"/>
    </row>
    <row r="113" spans="2:9" s="124" customFormat="1" ht="50.4" customHeight="1" x14ac:dyDescent="0.3">
      <c r="B113" s="126"/>
      <c r="C113" s="126"/>
      <c r="D113" s="126"/>
      <c r="E113" s="126"/>
      <c r="F113" s="400"/>
      <c r="G113" s="126"/>
      <c r="H113" s="126"/>
      <c r="I113" s="126"/>
    </row>
    <row r="114" spans="2:9" ht="50.4" customHeight="1" x14ac:dyDescent="0.3">
      <c r="B114" s="127"/>
      <c r="C114" s="127"/>
      <c r="D114" s="127"/>
      <c r="E114" s="127"/>
      <c r="F114" s="404"/>
      <c r="G114" s="127"/>
      <c r="H114" s="127"/>
      <c r="I114" s="127"/>
    </row>
    <row r="115" spans="2:9" ht="50.4" customHeight="1" x14ac:dyDescent="0.3">
      <c r="B115" s="127"/>
      <c r="C115" s="127"/>
      <c r="D115" s="127"/>
      <c r="E115" s="127"/>
      <c r="F115" s="404"/>
      <c r="G115" s="127"/>
      <c r="H115" s="127"/>
      <c r="I115" s="127"/>
    </row>
    <row r="116" spans="2:9" ht="50.4" customHeight="1" x14ac:dyDescent="0.3">
      <c r="B116" s="127"/>
      <c r="C116" s="127"/>
      <c r="D116" s="127"/>
      <c r="E116" s="127"/>
      <c r="F116" s="404"/>
      <c r="G116" s="127"/>
      <c r="H116" s="127"/>
      <c r="I116" s="127"/>
    </row>
    <row r="117" spans="2:9" x14ac:dyDescent="0.3">
      <c r="B117" s="127"/>
      <c r="C117" s="127"/>
      <c r="D117" s="127"/>
      <c r="E117" s="127"/>
      <c r="F117" s="404"/>
      <c r="G117" s="127"/>
      <c r="H117" s="127"/>
      <c r="I117" s="127"/>
    </row>
    <row r="118" spans="2:9" x14ac:dyDescent="0.3">
      <c r="B118" s="127"/>
      <c r="C118" s="127"/>
      <c r="D118" s="127"/>
      <c r="E118" s="127"/>
      <c r="F118" s="404"/>
      <c r="G118" s="127"/>
      <c r="H118" s="127"/>
      <c r="I118" s="127"/>
    </row>
    <row r="119" spans="2:9" x14ac:dyDescent="0.3">
      <c r="B119" s="127"/>
      <c r="C119" s="127"/>
      <c r="D119" s="127"/>
      <c r="E119" s="127"/>
      <c r="F119" s="404"/>
      <c r="G119" s="127"/>
      <c r="H119" s="127"/>
      <c r="I119" s="127"/>
    </row>
    <row r="120" spans="2:9" x14ac:dyDescent="0.3">
      <c r="B120" s="127"/>
      <c r="C120" s="127"/>
      <c r="D120" s="127"/>
      <c r="E120" s="127"/>
      <c r="F120" s="404"/>
      <c r="G120" s="127"/>
      <c r="H120" s="127"/>
      <c r="I120" s="127"/>
    </row>
  </sheetData>
  <sheetProtection algorithmName="SHA-512" hashValue="NPfSWVV9JlKXUoRubyoYIYWLg/ri9hSF9mTrfNW9Kdv508k5Ir1SK4XrqOq3VbQJYOH6u+2r+63hz5yMKm/5Cg==" saltValue="rfazgs3+SdSx83umTQ7yVA==" spinCount="100000" sheet="1" selectLockedCells="1"/>
  <mergeCells count="54">
    <mergeCell ref="C76:E76"/>
    <mergeCell ref="C74:E74"/>
    <mergeCell ref="C81:E81"/>
    <mergeCell ref="T87:U87"/>
    <mergeCell ref="C87:E87"/>
    <mergeCell ref="P85:Q85"/>
    <mergeCell ref="N87:O87"/>
    <mergeCell ref="P87:Q87"/>
    <mergeCell ref="C83:E83"/>
    <mergeCell ref="Z83:AA83"/>
    <mergeCell ref="C79:E79"/>
    <mergeCell ref="N83:O83"/>
    <mergeCell ref="P83:Q83"/>
    <mergeCell ref="R83:S83"/>
    <mergeCell ref="T83:U83"/>
    <mergeCell ref="V83:W83"/>
    <mergeCell ref="X83:Y83"/>
    <mergeCell ref="Z87:AA87"/>
    <mergeCell ref="T85:U85"/>
    <mergeCell ref="V85:W85"/>
    <mergeCell ref="C85:E85"/>
    <mergeCell ref="N85:O85"/>
    <mergeCell ref="Z85:AA85"/>
    <mergeCell ref="X85:Y85"/>
    <mergeCell ref="V87:W87"/>
    <mergeCell ref="X87:Y87"/>
    <mergeCell ref="R85:S85"/>
    <mergeCell ref="R87:S87"/>
    <mergeCell ref="B33:B36"/>
    <mergeCell ref="B40:B44"/>
    <mergeCell ref="C62:E62"/>
    <mergeCell ref="C73:E73"/>
    <mergeCell ref="C65:E65"/>
    <mergeCell ref="C63:E63"/>
    <mergeCell ref="C72:E72"/>
    <mergeCell ref="B46:B47"/>
    <mergeCell ref="C66:E66"/>
    <mergeCell ref="C69:E69"/>
    <mergeCell ref="C71:E71"/>
    <mergeCell ref="B65:B74"/>
    <mergeCell ref="C67:E67"/>
    <mergeCell ref="B53:B63"/>
    <mergeCell ref="C70:E70"/>
    <mergeCell ref="C68:E68"/>
    <mergeCell ref="B107:E107"/>
    <mergeCell ref="B106:E106"/>
    <mergeCell ref="C91:E91"/>
    <mergeCell ref="C95:E95"/>
    <mergeCell ref="C100:E100"/>
    <mergeCell ref="C96:E96"/>
    <mergeCell ref="C97:E97"/>
    <mergeCell ref="C98:E98"/>
    <mergeCell ref="C99:E99"/>
    <mergeCell ref="C93:E93"/>
  </mergeCells>
  <conditionalFormatting sqref="K89:L89 G49:L49 G76:L76 G89:I89 G29:L29">
    <cfRule type="expression" dxfId="91" priority="99">
      <formula>G$26="X"</formula>
    </cfRule>
    <cfRule type="expression" dxfId="90" priority="100">
      <formula>G$26=""</formula>
    </cfRule>
  </conditionalFormatting>
  <conditionalFormatting sqref="G65:L65">
    <cfRule type="expression" dxfId="89" priority="68">
      <formula>AND(G$26="X",G65="")</formula>
    </cfRule>
  </conditionalFormatting>
  <conditionalFormatting sqref="G38:L38 G40:L44 G51:L51 G46:L46 G33:L36 G53:L61">
    <cfRule type="expression" dxfId="88" priority="96">
      <formula>AND(G$26="X",G33="")</formula>
    </cfRule>
  </conditionalFormatting>
  <conditionalFormatting sqref="G47:I47">
    <cfRule type="expression" dxfId="87" priority="22">
      <formula>$C$26=""</formula>
    </cfRule>
    <cfRule type="expression" dxfId="86" priority="53">
      <formula>$C$26=1</formula>
    </cfRule>
  </conditionalFormatting>
  <conditionalFormatting sqref="J47">
    <cfRule type="expression" dxfId="85" priority="38">
      <formula>$C$26&lt;5</formula>
    </cfRule>
    <cfRule type="expression" dxfId="84" priority="39">
      <formula>$C$26&gt;5</formula>
    </cfRule>
    <cfRule type="expression" dxfId="83" priority="40">
      <formula>$C$26=5</formula>
    </cfRule>
  </conditionalFormatting>
  <conditionalFormatting sqref="K47">
    <cfRule type="expression" dxfId="82" priority="35">
      <formula>$C$26&lt;6</formula>
    </cfRule>
    <cfRule type="expression" dxfId="81" priority="36">
      <formula>$C$26&gt;6</formula>
    </cfRule>
    <cfRule type="expression" dxfId="80" priority="37">
      <formula>$C$26=6</formula>
    </cfRule>
  </conditionalFormatting>
  <conditionalFormatting sqref="L47">
    <cfRule type="expression" dxfId="79" priority="33">
      <formula>$C$26&lt;7</formula>
    </cfRule>
    <cfRule type="expression" dxfId="78" priority="34">
      <formula>$C$26=7</formula>
    </cfRule>
  </conditionalFormatting>
  <conditionalFormatting sqref="G81:L81 G83:L83 G85:L85 G87:L87 G66:L74 G79:L79 G62:L63 G93:J93 G91:L91 G95:L100">
    <cfRule type="expression" dxfId="77" priority="95">
      <formula>G$26=""</formula>
    </cfRule>
  </conditionalFormatting>
  <conditionalFormatting sqref="G31:L31">
    <cfRule type="expression" dxfId="76" priority="26">
      <formula>AND(G31="",G$26="X")</formula>
    </cfRule>
  </conditionalFormatting>
  <conditionalFormatting sqref="G38:L38 G40:L44 G51:L51 G65:L65 G31:L31 G46:L46 G33:L36 G53:L61">
    <cfRule type="expression" dxfId="75" priority="97">
      <formula>G$26="X"</formula>
    </cfRule>
    <cfRule type="expression" dxfId="74" priority="98">
      <formula>G$26=""</formula>
    </cfRule>
  </conditionalFormatting>
  <conditionalFormatting sqref="G81:L81 G83:L83 G85:L85 G87:L87 G66:L74 G79:L79 G62:L63 G93:J93 G91:L91 G95:L100">
    <cfRule type="expression" dxfId="73" priority="94">
      <formula>G$26="X"</formula>
    </cfRule>
  </conditionalFormatting>
  <conditionalFormatting sqref="C26 G27">
    <cfRule type="containsBlanks" dxfId="72" priority="101">
      <formula>LEN(TRIM(C26))=0</formula>
    </cfRule>
  </conditionalFormatting>
  <conditionalFormatting sqref="G8:G11">
    <cfRule type="expression" dxfId="71" priority="19">
      <formula>AND(G$24="X",G8="")</formula>
    </cfRule>
  </conditionalFormatting>
  <conditionalFormatting sqref="G8:G11">
    <cfRule type="expression" dxfId="70" priority="20">
      <formula>G$24="X"</formula>
    </cfRule>
  </conditionalFormatting>
  <conditionalFormatting sqref="G17:L22">
    <cfRule type="expression" dxfId="69" priority="16">
      <formula>#REF!=""</formula>
    </cfRule>
  </conditionalFormatting>
  <conditionalFormatting sqref="G17:L22">
    <cfRule type="expression" dxfId="68" priority="165">
      <formula>#REF!="X"</formula>
    </cfRule>
  </conditionalFormatting>
  <conditionalFormatting sqref="G19:G21 G8:G11 G33:I35 G38:I38 G40:I44 G53:I61">
    <cfRule type="containsBlanks" dxfId="67" priority="10">
      <formula>LEN(TRIM(G8))=0</formula>
    </cfRule>
  </conditionalFormatting>
  <conditionalFormatting sqref="G17:G18 G22 G27 G36:I36 G51:I51 G46:I46">
    <cfRule type="containsBlanks" dxfId="66" priority="9">
      <formula>LEN(TRIM(G17))=0</formula>
    </cfRule>
  </conditionalFormatting>
  <conditionalFormatting sqref="G47:I47">
    <cfRule type="containsBlanks" dxfId="65" priority="7">
      <formula>LEN(TRIM(G47))=0</formula>
    </cfRule>
  </conditionalFormatting>
  <conditionalFormatting sqref="H12:H15">
    <cfRule type="expression" dxfId="64" priority="4">
      <formula>AND(H$24="X",H12="")</formula>
    </cfRule>
  </conditionalFormatting>
  <conditionalFormatting sqref="H12:H15">
    <cfRule type="expression" dxfId="63" priority="5">
      <formula>H$24="X"</formula>
    </cfRule>
  </conditionalFormatting>
  <conditionalFormatting sqref="H12:H15">
    <cfRule type="containsBlanks" dxfId="62" priority="3">
      <formula>LEN(TRIM(H12))=0</formula>
    </cfRule>
  </conditionalFormatting>
  <conditionalFormatting sqref="I12:M15">
    <cfRule type="notContainsBlanks" dxfId="61" priority="2">
      <formula>LEN(TRIM(I12))&gt;0</formula>
    </cfRule>
  </conditionalFormatting>
  <dataValidations disablePrompts="1" count="10">
    <dataValidation type="whole" operator="lessThanOrEqual" allowBlank="1" showInputMessage="1" showErrorMessage="1" errorTitle="Eingabe ungültig!" error="Bitte geben Sie eine Zahl ein, die größer gleich Null '0' ist!_x000a_Im Falle eines Umbaus/ einer Erweiterung, darf die Eingabe nicht die eingegebene Anzahl der Lkw-Parkstände aus dem Bestand überschreiten!" sqref="J41:L41" xr:uid="{B649FB48-C2A0-4EFE-928F-E752287E02C0}">
      <formula1>I41</formula1>
    </dataValidation>
    <dataValidation type="list" allowBlank="1" showInputMessage="1" showErrorMessage="1" sqref="G22" xr:uid="{B9776092-44CD-4A90-975D-BA528DC5E9F5}">
      <formula1>$F$83:$F$87</formula1>
    </dataValidation>
    <dataValidation type="whole" operator="lessThanOrEqual" allowBlank="1" showInputMessage="1" showErrorMessage="1" errorTitle="Eingabe ungültig!" error="Bitte geben Sie eine Zahl ein, die größer gleich Null '0' ist!_x000a_Im Falle eines Umbaus/ einer Erweiterung, darf die Eingabe nicht die eingegebene Anzahl der Lkw-Parkstände aus dem Bestand überschreiten!" sqref="H41" xr:uid="{D2A00BF5-C29D-49E3-9D5D-DBE6F929FD43}">
      <formula1>G20</formula1>
    </dataValidation>
    <dataValidation type="whole" operator="lessThanOrEqual" allowBlank="1" showInputMessage="1" showErrorMessage="1" errorTitle="Eingabe ungültig!" error="Bitte geben Sie eine Zahl ein, die größer gleich Null '0' ist!_x000a_Im Falle eines Umbaus/ einer Erweiterung, darf die Eingabe nicht die eingegebene Anzahl der Lkw-Parkstände aus dem Bestand überschreiten!" sqref="I41" xr:uid="{55FE9B1F-E8AD-4527-8AEF-EF775FFEE163}">
      <formula1>JF20</formula1>
    </dataValidation>
    <dataValidation type="whole" operator="lessThanOrEqual" allowBlank="1" showInputMessage="1" showErrorMessage="1" errorTitle="Überprüfung" error="Bitte überprüfen Sie Ihre Eingabe. _x000a_Es können nicht mehr Lkw-Parkstände entfallen als im Bestand vorliegen." sqref="G41" xr:uid="{FC852961-05B0-4622-9675-69E3135C123D}">
      <formula1>G20</formula1>
    </dataValidation>
    <dataValidation type="whole" allowBlank="1" showInputMessage="1" showErrorMessage="1" errorTitle="Überprüfung" error="Bitte überprüfen Sie Ihre Eingabe._x000a_Es können nicht mehr Lkw-Parkstände im Bestand auf der Rastanlage vorliegen als auf dem gesamten Netzabschnitt." sqref="G20" xr:uid="{5A8067FB-8815-49B4-A181-F6C569792175}">
      <formula1>0</formula1>
      <formula2>G14</formula2>
    </dataValidation>
    <dataValidation type="list" allowBlank="1" showInputMessage="1" showErrorMessage="1" sqref="G46:L46" xr:uid="{1F0BEFC5-0CAA-4651-9CB8-DE4ED9F38CA4}">
      <formula1>"ja,nein"</formula1>
    </dataValidation>
    <dataValidation type="list" allowBlank="1" showInputMessage="1" showErrorMessage="1" sqref="G51:L51" xr:uid="{774C24B3-D930-49FA-95C3-63866F7B91D9}">
      <formula1>INDIRECT("'Parameter'!BPI[Jahr]")</formula1>
    </dataValidation>
    <dataValidation type="list" allowBlank="1" showInputMessage="1" showErrorMessage="1" sqref="G17:L17" xr:uid="{BC910FB5-BE81-4CA6-AE74-8DFDF2773ECB}">
      <formula1>INDIRECT("AnlagenTyp[Kürzel]")</formula1>
    </dataValidation>
    <dataValidation type="list" allowBlank="1" showInputMessage="1" showErrorMessage="1" sqref="H22:L22" xr:uid="{5C746F9B-472A-4D09-8DC2-C5E5706F80A2}">
      <formula1>$F$83:$F$86</formula1>
    </dataValidation>
  </dataValidations>
  <hyperlinks>
    <hyperlink ref="G47" location="Betriebskosten!A1" display="Link zu &quot;Betriebskosten&quot;" xr:uid="{6D2BD568-E4A9-428C-98AD-7B8741BCBBBF}"/>
    <hyperlink ref="H47:I47" location="Betriebskosten!A1" display="Link zu Tabellenblatt &quot;Betriebskosten&quot;" xr:uid="{8FC6F41C-1EFE-4863-BB2E-09B5C64BBF75}"/>
    <hyperlink ref="H47" location="Betriebskosten!A1" display="Link zu &quot;Betriebskosten&quot;" xr:uid="{3B60A70C-FD49-4910-806D-97DF539150CE}"/>
    <hyperlink ref="I47" location="Betriebskosten!A1" display="Link zu &quot;Betriebskosten&quot;" xr:uid="{C109DF7F-41F3-4359-936E-C1BA28798950}"/>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1" operator="greaterThan" id="{8C9F8BA3-4C8C-4BA0-9B34-132568C0FAAF}">
            <xm:f>Parameter!$R$4</xm:f>
            <x14:dxf>
              <fill>
                <patternFill>
                  <bgColor rgb="FFFF9999"/>
                </patternFill>
              </fill>
              <border>
                <left style="thin">
                  <color rgb="FFFF0000"/>
                </left>
                <right style="thin">
                  <color rgb="FFFF0000"/>
                </right>
                <top style="thin">
                  <color rgb="FFFF0000"/>
                </top>
                <bottom style="thin">
                  <color rgb="FFFF0000"/>
                </bottom>
                <vertical/>
                <horizontal/>
              </border>
            </x14:dxf>
          </x14:cfRule>
          <xm:sqref>G51:L51</xm:sqref>
        </x14:conditionalFormatting>
        <x14:conditionalFormatting xmlns:xm="http://schemas.microsoft.com/office/excel/2006/main">
          <x14:cfRule type="containsText" priority="8" operator="containsText" id="{F7A0DAEE-315B-4552-AEC0-CDC111A442B0}">
            <xm:f>NOT(ISERROR(SEARCH($H$47,G47)))</xm:f>
            <xm:f>$H$47</xm:f>
            <x14:dxf>
              <fill>
                <patternFill>
                  <bgColor rgb="FFFF0000"/>
                </patternFill>
              </fill>
            </x14:dxf>
          </x14:cfRule>
          <xm:sqref>G47:I47</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D1437962-D108-4937-9B2F-8DE2DABDD1E5}">
          <x14:formula1>
            <xm:f>Parameter!$F$73:$F$78</xm:f>
          </x14:formula1>
          <xm:sqref>G27</xm:sqref>
        </x14:dataValidation>
        <x14:dataValidation type="list" allowBlank="1" showInputMessage="1" showErrorMessage="1" xr:uid="{255E500B-BA38-4EDF-ACBE-00FBC2DB7395}">
          <x14:formula1>
            <xm:f>Parameter!$G$83:$G$86</xm:f>
          </x14:formula1>
          <xm:sqref>J36:L36</xm:sqref>
        </x14:dataValidation>
        <x14:dataValidation type="list" allowBlank="1" xr:uid="{72E2602F-5F3B-4862-94E2-845EC926863F}">
          <x14:formula1>
            <xm:f>Parameter!$E$145:$E$161</xm:f>
          </x14:formula1>
          <xm:sqref>J89</xm:sqref>
        </x14:dataValidation>
        <x14:dataValidation type="list" allowBlank="1" showInputMessage="1" showErrorMessage="1" xr:uid="{44F76CC5-D299-4FB7-A533-5326A0918928}">
          <x14:formula1>
            <xm:f>Parameter!$H$82:$I$82</xm:f>
          </x14:formula1>
          <xm:sqref>G18:L18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rgb="FF00B0F0"/>
  </sheetPr>
  <dimension ref="A1:Y38"/>
  <sheetViews>
    <sheetView showGridLines="0" zoomScale="80" zoomScaleNormal="80" workbookViewId="0">
      <pane xSplit="2" ySplit="7" topLeftCell="C8" activePane="bottomRight" state="frozen"/>
      <selection pane="topRight" activeCell="C1" sqref="C1"/>
      <selection pane="bottomLeft" activeCell="A12" sqref="A12"/>
      <selection pane="bottomRight" activeCell="C10" sqref="C10"/>
    </sheetView>
  </sheetViews>
  <sheetFormatPr baseColWidth="10" defaultColWidth="11.44140625" defaultRowHeight="16.8" x14ac:dyDescent="0.3"/>
  <cols>
    <col min="1" max="1" width="79.33203125" style="1" bestFit="1" customWidth="1"/>
    <col min="2" max="2" width="14.33203125" style="1" bestFit="1" customWidth="1"/>
    <col min="3" max="5" width="11.44140625" style="1"/>
    <col min="6" max="6" width="0" style="1" hidden="1" customWidth="1"/>
    <col min="7" max="8" width="11.44140625" style="1" hidden="1" customWidth="1"/>
    <col min="9" max="12" width="11.44140625" style="1" customWidth="1"/>
    <col min="13" max="16384" width="11.44140625" style="1"/>
  </cols>
  <sheetData>
    <row r="1" spans="1:25" ht="27" x14ac:dyDescent="0.3">
      <c r="A1" s="15" t="s">
        <v>355</v>
      </c>
      <c r="B1" s="60"/>
      <c r="C1" s="60"/>
      <c r="D1" s="60"/>
      <c r="E1" s="60"/>
      <c r="F1" s="60"/>
      <c r="G1" s="60"/>
      <c r="H1" s="60"/>
      <c r="I1" s="60"/>
      <c r="J1" s="60"/>
      <c r="K1" s="60"/>
      <c r="L1" s="60"/>
      <c r="M1" s="128" t="s">
        <v>448</v>
      </c>
      <c r="N1" s="60"/>
    </row>
    <row r="2" spans="1:25" ht="18.600000000000001" x14ac:dyDescent="0.3">
      <c r="A2" s="271" t="s">
        <v>140</v>
      </c>
      <c r="B2" s="166"/>
      <c r="C2" s="60"/>
      <c r="D2" s="60"/>
      <c r="E2" s="166"/>
      <c r="F2" s="166"/>
      <c r="G2" s="166"/>
      <c r="H2" s="168"/>
      <c r="I2" s="168"/>
      <c r="J2" s="168"/>
      <c r="K2" s="168"/>
      <c r="L2" s="128"/>
      <c r="N2" s="128"/>
      <c r="O2" s="128"/>
      <c r="P2" s="128"/>
      <c r="Q2" s="128"/>
      <c r="R2" s="128"/>
      <c r="S2" s="128"/>
      <c r="T2" s="128"/>
      <c r="U2" s="128"/>
      <c r="V2" s="128"/>
      <c r="W2" s="128"/>
      <c r="X2" s="128"/>
      <c r="Y2" s="128"/>
    </row>
    <row r="3" spans="1:25" ht="15.75" customHeight="1" x14ac:dyDescent="0.4">
      <c r="A3" s="165"/>
      <c r="B3" s="128"/>
      <c r="G3" s="128"/>
      <c r="H3" s="527"/>
      <c r="I3" s="527"/>
      <c r="J3" s="527"/>
      <c r="K3" s="527"/>
      <c r="L3" s="523" t="s">
        <v>95</v>
      </c>
      <c r="M3" s="524"/>
      <c r="N3" s="128"/>
      <c r="O3" s="128"/>
      <c r="P3" s="128"/>
      <c r="Q3" s="128"/>
      <c r="R3" s="128"/>
      <c r="S3" s="128"/>
      <c r="T3" s="128"/>
      <c r="U3" s="128"/>
      <c r="V3" s="128"/>
      <c r="W3" s="128"/>
      <c r="X3" s="128"/>
      <c r="Y3" s="128"/>
    </row>
    <row r="4" spans="1:25" x14ac:dyDescent="0.3">
      <c r="A4" s="128"/>
      <c r="D4" s="128"/>
      <c r="E4" s="128"/>
      <c r="F4" s="128"/>
      <c r="G4" s="128"/>
      <c r="H4" s="128"/>
      <c r="I4" s="128"/>
      <c r="J4" s="128"/>
      <c r="K4" s="128"/>
      <c r="L4" s="525" t="s">
        <v>121</v>
      </c>
      <c r="M4" s="526"/>
      <c r="N4" s="128"/>
      <c r="O4" s="128"/>
      <c r="P4" s="128"/>
      <c r="Q4" s="128"/>
      <c r="R4" s="128"/>
      <c r="S4" s="128"/>
      <c r="T4" s="128"/>
      <c r="U4" s="128"/>
      <c r="V4" s="128"/>
      <c r="W4" s="128"/>
      <c r="X4" s="128"/>
      <c r="Y4" s="128"/>
    </row>
    <row r="5" spans="1:25" s="133" customFormat="1" ht="15.6" x14ac:dyDescent="0.3">
      <c r="A5" s="528" t="s">
        <v>130</v>
      </c>
      <c r="B5" s="529"/>
      <c r="C5" s="129" t="str">
        <f>IF(Standortkonzept!G26="X",Standortkonzept!G29,"")</f>
        <v>Konventioneller Ausbau</v>
      </c>
      <c r="D5" s="130"/>
      <c r="E5" s="131"/>
      <c r="F5" s="129" t="e">
        <f>IF(Standortkonzept!#REF!="X",Standortkonzept!#REF!,"")</f>
        <v>#REF!</v>
      </c>
      <c r="G5" s="130"/>
      <c r="H5" s="131"/>
      <c r="I5" s="129" t="str">
        <f>IF(Standortkonzept!H26="X",Standortkonzept!H29,"")</f>
        <v>Kolonnenparken</v>
      </c>
      <c r="J5" s="130"/>
      <c r="K5" s="131"/>
      <c r="L5" s="129" t="str">
        <f>IF(Standortkonzept!I26="X",Standortkonzept!I29,"")</f>
        <v>Kompaktparken</v>
      </c>
      <c r="M5" s="130"/>
      <c r="N5" s="131"/>
      <c r="O5" s="129" t="str">
        <f>IF(Standortkonzept!J26="X",Standortkonzept!J29,"")</f>
        <v/>
      </c>
      <c r="P5" s="130"/>
      <c r="Q5" s="131"/>
      <c r="R5" s="129" t="str">
        <f>IF(Standortkonzept!K26="X",Standortkonzept!K29,"")</f>
        <v/>
      </c>
      <c r="S5" s="130"/>
      <c r="T5" s="131"/>
      <c r="U5" s="129" t="str">
        <f>IF(Standortkonzept!L26="X",Standortkonzept!L29,"")</f>
        <v/>
      </c>
      <c r="V5" s="130"/>
      <c r="W5" s="131"/>
      <c r="X5" s="132"/>
      <c r="Y5" s="132"/>
    </row>
    <row r="6" spans="1:25" s="133" customFormat="1" ht="15.6" x14ac:dyDescent="0.3">
      <c r="A6" s="530" t="s">
        <v>129</v>
      </c>
      <c r="B6" s="531"/>
      <c r="C6" s="134" t="str">
        <f>IF(Standortkonzept!G26="X",IF(Standortkonzept!G31&lt;&gt;"",Standortkonzept!G31,C5),"")</f>
        <v>Konventioneller Ausbau</v>
      </c>
      <c r="D6" s="135"/>
      <c r="E6" s="136"/>
      <c r="F6" s="134" t="e">
        <f>IF(Standortkonzept!#REF!="X",IF(Standortkonzept!#REF!&lt;&gt;"",Standortkonzept!#REF!,F5),"")</f>
        <v>#REF!</v>
      </c>
      <c r="G6" s="135"/>
      <c r="H6" s="136"/>
      <c r="I6" s="134" t="str">
        <f>IF(Standortkonzept!H26="X",IF(Standortkonzept!H31&lt;&gt;"",Standortkonzept!H31,I5),"")</f>
        <v>Kolonnenparken</v>
      </c>
      <c r="J6" s="135"/>
      <c r="K6" s="136"/>
      <c r="L6" s="134" t="str">
        <f>IF(Standortkonzept!I26="X",IF(Standortkonzept!I31&lt;&gt;"",Standortkonzept!I31,L5),"")</f>
        <v>Kompaktparken</v>
      </c>
      <c r="M6" s="135"/>
      <c r="N6" s="136"/>
      <c r="O6" s="134" t="str">
        <f>IF(Standortkonzept!J26="X",IF(Standortkonzept!J31&lt;&gt;"",Standortkonzept!J31,O5),"")</f>
        <v/>
      </c>
      <c r="P6" s="135"/>
      <c r="Q6" s="136"/>
      <c r="R6" s="134" t="str">
        <f>IF(Standortkonzept!K26="X",IF(Standortkonzept!K31&lt;&gt;"",Standortkonzept!K31,R5),"")</f>
        <v/>
      </c>
      <c r="S6" s="135"/>
      <c r="T6" s="136"/>
      <c r="U6" s="134" t="str">
        <f>IF(Standortkonzept!L26="X",IF(Standortkonzept!L31&lt;&gt;"",Standortkonzept!L31,U5),"")</f>
        <v/>
      </c>
      <c r="V6" s="135"/>
      <c r="W6" s="136"/>
      <c r="X6" s="132"/>
      <c r="Y6" s="132"/>
    </row>
    <row r="7" spans="1:25" s="3" customFormat="1" x14ac:dyDescent="0.3">
      <c r="A7" s="137"/>
      <c r="B7" s="138" t="s">
        <v>98</v>
      </c>
      <c r="C7" s="139" t="s">
        <v>99</v>
      </c>
      <c r="D7" s="138" t="s">
        <v>277</v>
      </c>
      <c r="E7" s="140" t="s">
        <v>100</v>
      </c>
      <c r="F7" s="139" t="s">
        <v>99</v>
      </c>
      <c r="G7" s="138" t="s">
        <v>277</v>
      </c>
      <c r="H7" s="140" t="s">
        <v>100</v>
      </c>
      <c r="I7" s="139" t="s">
        <v>99</v>
      </c>
      <c r="J7" s="138" t="s">
        <v>277</v>
      </c>
      <c r="K7" s="140" t="s">
        <v>100</v>
      </c>
      <c r="L7" s="139" t="s">
        <v>99</v>
      </c>
      <c r="M7" s="138" t="s">
        <v>277</v>
      </c>
      <c r="N7" s="140" t="s">
        <v>100</v>
      </c>
      <c r="O7" s="139" t="s">
        <v>99</v>
      </c>
      <c r="P7" s="138" t="s">
        <v>277</v>
      </c>
      <c r="Q7" s="140" t="s">
        <v>100</v>
      </c>
      <c r="R7" s="139" t="s">
        <v>99</v>
      </c>
      <c r="S7" s="138" t="s">
        <v>277</v>
      </c>
      <c r="T7" s="140" t="s">
        <v>100</v>
      </c>
      <c r="U7" s="139" t="s">
        <v>99</v>
      </c>
      <c r="V7" s="138" t="s">
        <v>277</v>
      </c>
      <c r="W7" s="140" t="s">
        <v>100</v>
      </c>
      <c r="X7" s="137"/>
      <c r="Y7" s="137"/>
    </row>
    <row r="8" spans="1:25" x14ac:dyDescent="0.3">
      <c r="A8" s="520" t="s">
        <v>97</v>
      </c>
      <c r="B8" s="520"/>
      <c r="C8" s="141"/>
      <c r="D8" s="128"/>
      <c r="E8" s="142"/>
      <c r="F8" s="141"/>
      <c r="G8" s="128"/>
      <c r="H8" s="142"/>
      <c r="I8" s="141"/>
      <c r="J8" s="128"/>
      <c r="K8" s="142"/>
      <c r="L8" s="141"/>
      <c r="M8" s="128"/>
      <c r="N8" s="142"/>
      <c r="O8" s="141"/>
      <c r="P8" s="128"/>
      <c r="Q8" s="142"/>
      <c r="R8" s="141"/>
      <c r="S8" s="128"/>
      <c r="T8" s="142"/>
      <c r="U8" s="141"/>
      <c r="V8" s="128"/>
      <c r="W8" s="142"/>
      <c r="X8" s="128"/>
      <c r="Y8" s="128"/>
    </row>
    <row r="9" spans="1:25" x14ac:dyDescent="0.3">
      <c r="A9" s="143" t="s">
        <v>101</v>
      </c>
      <c r="B9" s="144" t="s">
        <v>102</v>
      </c>
      <c r="C9" s="145">
        <f>IF(C6&lt;&gt;"",IF(AND(C10&lt;&gt;"",D10&lt;&gt;""),"",Standortkonzept!$G$19*Parameter!$J$89/100))</f>
        <v>0</v>
      </c>
      <c r="D9" s="145">
        <f>IF(C6&lt;&gt;"",IF(AND(C10&lt;&gt;"",D10&lt;&gt;""),"",Standortkonzept!G$33*Parameter!$J$89/100),"")</f>
        <v>0</v>
      </c>
      <c r="E9" s="145">
        <f>IF(C6&lt;&gt;"",IF(AND(C10&lt;&gt;"",D10&lt;&gt;""),"",C9-D9),"")</f>
        <v>0</v>
      </c>
      <c r="F9" s="145" t="e">
        <f>IF(F6&lt;&gt;"",IF(AND(F10&lt;&gt;"",G10&lt;&gt;""),"",Standortkonzept!$G$19*Parameter!$J$89/100))</f>
        <v>#REF!</v>
      </c>
      <c r="G9" s="145" t="e">
        <f>IF(F6&lt;&gt;"",IF(AND(G10&lt;&gt;"",F10&lt;&gt;""),"",Standortkonzept!#REF!*Parameter!$J$89/100),"")</f>
        <v>#REF!</v>
      </c>
      <c r="H9" s="145" t="e">
        <f>IF(F6&lt;&gt;"",IF(AND(F10&lt;&gt;"",G10&lt;&gt;""),"",F9-G9),"")</f>
        <v>#REF!</v>
      </c>
      <c r="I9" s="145">
        <f>IF(I6&lt;&gt;"",IF(AND(I10&lt;&gt;"",J10&lt;&gt;""),"",Standortkonzept!$G$19*Parameter!$J$89/100))</f>
        <v>0</v>
      </c>
      <c r="J9" s="145">
        <f>IF(I6&lt;&gt;"",IF(AND(I10&lt;&gt;"",J10&lt;&gt;""),"",Standortkonzept!H$33*Parameter!$J$89/100),"")</f>
        <v>0</v>
      </c>
      <c r="K9" s="145">
        <f>IF(I6&lt;&gt;"",IF(AND(I10&lt;&gt;"",J10&lt;&gt;""),"",I9-J9),"")</f>
        <v>0</v>
      </c>
      <c r="L9" s="145">
        <f>IF(L6&lt;&gt;"",IF(AND(L10&lt;&gt;"",M10&lt;&gt;""),"",Standortkonzept!$G$19*Parameter!$J$89/100))</f>
        <v>0</v>
      </c>
      <c r="M9" s="145">
        <f>IF(L6&lt;&gt;"",IF(AND(L10&lt;&gt;"",M10&lt;&gt;""),"",Standortkonzept!I$33*Parameter!$J$89/100),"")</f>
        <v>0</v>
      </c>
      <c r="N9" s="145">
        <f>IF(L6&lt;&gt;"",IF(AND(L10&lt;&gt;"",M10&lt;&gt;""),"",L9-M9),"")</f>
        <v>0</v>
      </c>
      <c r="O9" s="145" t="b">
        <f>IF(O6&lt;&gt;"",IF(AND(O10&lt;&gt;"",P10&lt;&gt;""),"",Standortkonzept!$G$19*Parameter!$J$89/100))</f>
        <v>0</v>
      </c>
      <c r="P9" s="145" t="str">
        <f>IF(O6&lt;&gt;"",IF(AND(O10&lt;&gt;"",P10&lt;&gt;""),"",Standortkonzept!J$33*Parameter!$J$89/100),"")</f>
        <v/>
      </c>
      <c r="Q9" s="145" t="str">
        <f>IF(O6&lt;&gt;"",IF(AND(O10&lt;&gt;"",P10&lt;&gt;""),"",O9-P9),"")</f>
        <v/>
      </c>
      <c r="R9" s="145" t="b">
        <f>IF(R6&lt;&gt;"",IF(AND(R10&lt;&gt;"",S10&lt;&gt;""),"",Standortkonzept!$G$19*Parameter!$J$89/100))</f>
        <v>0</v>
      </c>
      <c r="S9" s="145" t="str">
        <f>IF(R6&lt;&gt;"",IF(AND(R10&lt;&gt;"",S10&lt;&gt;""),"",Standortkonzept!K$33*Parameter!$J$89/100),"")</f>
        <v/>
      </c>
      <c r="T9" s="145" t="str">
        <f>IF(R6&lt;&gt;"",IF(AND(R10&lt;&gt;"",S10&lt;&gt;""),"",R9-S9),"")</f>
        <v/>
      </c>
      <c r="U9" s="145" t="b">
        <f>IF(U6&lt;&gt;"",IF(AND(U10&lt;&gt;"",V10&lt;&gt;""),"",Standortkonzept!$G$19*Parameter!$J$89/100))</f>
        <v>0</v>
      </c>
      <c r="V9" s="145" t="str">
        <f>IF(U6&lt;&gt;"",IF(AND(U10&lt;&gt;"",V10&lt;&gt;""),"",Standortkonzept!L$33*Parameter!$J$89/100),"")</f>
        <v/>
      </c>
      <c r="W9" s="145" t="str">
        <f>IF(U6&lt;&gt;"",IF(AND(U10&lt;&gt;"",V10&lt;&gt;""),"",U9-V9),"")</f>
        <v/>
      </c>
      <c r="X9" s="128"/>
      <c r="Y9" s="128"/>
    </row>
    <row r="10" spans="1:25" x14ac:dyDescent="0.3">
      <c r="A10" s="143" t="s">
        <v>128</v>
      </c>
      <c r="B10" s="144" t="s">
        <v>102</v>
      </c>
      <c r="C10" s="146"/>
      <c r="D10" s="146"/>
      <c r="E10" s="145" t="str">
        <f>IF(C6&lt;&gt;"",IF(AND(C10&lt;&gt;"",D10&lt;&gt;""),C10-D10,""),"")</f>
        <v/>
      </c>
      <c r="F10" s="146"/>
      <c r="G10" s="146"/>
      <c r="H10" s="145" t="e">
        <f>IF(F6&lt;&gt;"",IF(AND(F10&lt;&gt;"",G10&lt;&gt;""),F10-G10,""),"")</f>
        <v>#REF!</v>
      </c>
      <c r="I10" s="146"/>
      <c r="J10" s="146"/>
      <c r="K10" s="145" t="str">
        <f>IF(I6&lt;&gt;"",IF(AND(I10&lt;&gt;"",J10&lt;&gt;""),I10-J10,""),"")</f>
        <v/>
      </c>
      <c r="L10" s="146"/>
      <c r="M10" s="146"/>
      <c r="N10" s="145" t="str">
        <f>IF(L6&lt;&gt;"",IF(AND(L10&lt;&gt;"",M10&lt;&gt;""),L10-M10,""),"")</f>
        <v/>
      </c>
      <c r="O10" s="146"/>
      <c r="P10" s="146"/>
      <c r="Q10" s="145" t="str">
        <f>IF(O6&lt;&gt;"",IF(AND(O10&lt;&gt;"",P10&lt;&gt;""),O10-P10,""),"")</f>
        <v/>
      </c>
      <c r="R10" s="146"/>
      <c r="S10" s="146"/>
      <c r="T10" s="145" t="str">
        <f>IF(R6&lt;&gt;"",IF(AND(R10&lt;&gt;"",S10&lt;&gt;""),R10-S10,""),"")</f>
        <v/>
      </c>
      <c r="U10" s="146"/>
      <c r="V10" s="146"/>
      <c r="W10" s="145" t="str">
        <f>IF(U6&lt;&gt;"",IF(AND(U10&lt;&gt;"",V10&lt;&gt;""),U10-V10,""),"")</f>
        <v/>
      </c>
      <c r="X10" s="128"/>
      <c r="Y10" s="128"/>
    </row>
    <row r="11" spans="1:25" x14ac:dyDescent="0.3">
      <c r="A11" s="128"/>
      <c r="B11" s="137"/>
      <c r="C11" s="141"/>
      <c r="D11" s="128"/>
      <c r="E11" s="142"/>
      <c r="F11" s="141"/>
      <c r="G11" s="128"/>
      <c r="H11" s="142"/>
      <c r="I11" s="141"/>
      <c r="J11" s="128"/>
      <c r="K11" s="142"/>
      <c r="L11" s="141"/>
      <c r="M11" s="128"/>
      <c r="N11" s="142"/>
      <c r="O11" s="141"/>
      <c r="P11" s="128"/>
      <c r="Q11" s="142"/>
      <c r="R11" s="141"/>
      <c r="S11" s="128"/>
      <c r="T11" s="142"/>
      <c r="U11" s="141"/>
      <c r="V11" s="128"/>
      <c r="W11" s="142"/>
      <c r="X11" s="128"/>
      <c r="Y11" s="128"/>
    </row>
    <row r="12" spans="1:25" x14ac:dyDescent="0.3">
      <c r="A12" s="520" t="s">
        <v>103</v>
      </c>
      <c r="B12" s="520"/>
      <c r="C12" s="141"/>
      <c r="D12" s="128"/>
      <c r="E12" s="142"/>
      <c r="F12" s="141"/>
      <c r="G12" s="128"/>
      <c r="H12" s="142"/>
      <c r="I12" s="141"/>
      <c r="J12" s="128"/>
      <c r="K12" s="142"/>
      <c r="L12" s="141"/>
      <c r="M12" s="128"/>
      <c r="N12" s="142"/>
      <c r="O12" s="141"/>
      <c r="P12" s="128"/>
      <c r="Q12" s="142"/>
      <c r="R12" s="141"/>
      <c r="S12" s="128"/>
      <c r="T12" s="142"/>
      <c r="U12" s="141"/>
      <c r="V12" s="128"/>
      <c r="W12" s="142"/>
      <c r="X12" s="128"/>
      <c r="Y12" s="128"/>
    </row>
    <row r="13" spans="1:25" x14ac:dyDescent="0.3">
      <c r="A13" s="143" t="s">
        <v>131</v>
      </c>
      <c r="B13" s="144" t="s">
        <v>102</v>
      </c>
      <c r="C13" s="145">
        <f>IF(C6&lt;&gt;"",IF(AND(C14&lt;&gt;"",D14&lt;&gt;""),"",(Standortkonzept!$G$19*Parameter!$J$92/100+Standortkonzept!$G$21*Parameter!$J$93)))</f>
        <v>0</v>
      </c>
      <c r="D13" s="145">
        <f>IF(C6&lt;&gt;"",IF(AND(C14&lt;&gt;"",D14&lt;&gt;""),"",Standortkonzept!G$33*Parameter!$J$92/100+Standortkonzept!G35*Parameter!$J$93),"")</f>
        <v>0</v>
      </c>
      <c r="E13" s="145">
        <f>IF(C6&lt;&gt;"",IF(AND(C14&lt;&gt;"",D14&lt;&gt;""),"",C13-D13),"")</f>
        <v>0</v>
      </c>
      <c r="F13" s="145" t="e">
        <f>IF(F6&lt;&gt;"",IF(AND(F14&lt;&gt;"",G14&lt;&gt;""),"",(Standortkonzept!$G$19*Parameter!$J$92/100+Standortkonzept!$G$21*Parameter!$J$93)))</f>
        <v>#REF!</v>
      </c>
      <c r="G13" s="145" t="e">
        <f>IF(F6&lt;&gt;"",IF(AND(F14&lt;&gt;"",G14&lt;&gt;""),"",Standortkonzept!#REF!*Parameter!$J$92/100+Standortkonzept!#REF!*Parameter!$J$93),"")</f>
        <v>#REF!</v>
      </c>
      <c r="H13" s="145" t="e">
        <f>IF(F6&lt;&gt;"",IF(AND(F14&lt;&gt;"",G14&lt;&gt;""),"",F13-G13),"")</f>
        <v>#REF!</v>
      </c>
      <c r="I13" s="145">
        <f>IF(I6&lt;&gt;"",IF(AND(I14&lt;&gt;"",J14&lt;&gt;""),"",(Standortkonzept!$G$19*Parameter!$J$92/100+Standortkonzept!$G$21*Parameter!$J$93)))</f>
        <v>0</v>
      </c>
      <c r="J13" s="145">
        <f>IF(I6&lt;&gt;"",IF(AND(I14&lt;&gt;"",J14&lt;&gt;""),"",Standortkonzept!H$33*Parameter!$J$92/100+Standortkonzept!H35*Parameter!$J$93),"")</f>
        <v>0</v>
      </c>
      <c r="K13" s="145">
        <f>IF(I6&lt;&gt;"",IF(AND(I14&lt;&gt;"",J14&lt;&gt;""),"",I13-J13),"")</f>
        <v>0</v>
      </c>
      <c r="L13" s="145">
        <f>IF(L6&lt;&gt;"",IF(AND(L14&lt;&gt;"",M14&lt;&gt;""),"",(Standortkonzept!$G$19*Parameter!$J$92/100+Standortkonzept!$G$21*Parameter!$J$93)))</f>
        <v>0</v>
      </c>
      <c r="M13" s="145">
        <f>IF(L6&lt;&gt;"",IF(AND(L14&lt;&gt;"",M14&lt;&gt;""),"",Standortkonzept!I$33*Parameter!$J$92/100+Standortkonzept!I35*Parameter!$J$93),"")</f>
        <v>0</v>
      </c>
      <c r="N13" s="145">
        <f>IF(L6&lt;&gt;"",IF(AND(L14&lt;&gt;"",M14&lt;&gt;""),"",L13-M13),"")</f>
        <v>0</v>
      </c>
      <c r="O13" s="145" t="b">
        <f>IF(O6&lt;&gt;"",IF(AND(O14&lt;&gt;"",P14&lt;&gt;""),"",(Standortkonzept!$G$19*Parameter!$J$92/100+Standortkonzept!$G$21*Parameter!$J$93)))</f>
        <v>0</v>
      </c>
      <c r="P13" s="145" t="str">
        <f>IF(O6&lt;&gt;"",IF(AND(O14&lt;&gt;"",P14&lt;&gt;""),"",Standortkonzept!J$33*Parameter!$J$92/100+Standortkonzept!J35*Parameter!$J$93),"")</f>
        <v/>
      </c>
      <c r="Q13" s="145" t="str">
        <f>IF(O6&lt;&gt;"",IF(AND(O14&lt;&gt;"",P14&lt;&gt;""),"",O13-P13),"")</f>
        <v/>
      </c>
      <c r="R13" s="145" t="b">
        <f>IF(R6&lt;&gt;"",IF(AND(R14&lt;&gt;"",S14&lt;&gt;""),"",(Standortkonzept!$G$19*Parameter!$J$92/100+Standortkonzept!$G$21*Parameter!$J$93)))</f>
        <v>0</v>
      </c>
      <c r="S13" s="145" t="str">
        <f>IF(R6&lt;&gt;"",IF(AND(R14&lt;&gt;"",S14&lt;&gt;""),"",Standortkonzept!K$33*Parameter!$J$92/100+Standortkonzept!K35*Parameter!$J$93),"")</f>
        <v/>
      </c>
      <c r="T13" s="145" t="str">
        <f>IF(R6&lt;&gt;"",IF(AND(R14&lt;&gt;"",S14&lt;&gt;""),"",R13-S13),"")</f>
        <v/>
      </c>
      <c r="U13" s="145" t="b">
        <f>IF(U6&lt;&gt;"",IF(AND(U14&lt;&gt;"",V14&lt;&gt;""),"",(Standortkonzept!$G$19*Parameter!$J$92/100+Standortkonzept!$G$21*Parameter!$J$93)))</f>
        <v>0</v>
      </c>
      <c r="V13" s="145" t="str">
        <f>IF(U6&lt;&gt;"",IF(AND(U14&lt;&gt;"",V14&lt;&gt;""),"",Standortkonzept!L$33*Parameter!$J$92/100+Standortkonzept!L35*Parameter!$J$93),"")</f>
        <v/>
      </c>
      <c r="W13" s="145" t="str">
        <f>IF(U6&lt;&gt;"",IF(AND(U14&lt;&gt;"",V14&lt;&gt;""),"",U13-V13),"")</f>
        <v/>
      </c>
      <c r="X13" s="128"/>
      <c r="Y13" s="128"/>
    </row>
    <row r="14" spans="1:25" x14ac:dyDescent="0.3">
      <c r="A14" s="143" t="s">
        <v>132</v>
      </c>
      <c r="B14" s="144" t="s">
        <v>102</v>
      </c>
      <c r="C14" s="146"/>
      <c r="D14" s="146"/>
      <c r="E14" s="145" t="str">
        <f>IF(C6&lt;&gt;"",IF(AND(C14&lt;&gt;"",D14&lt;&gt;""),C14-D14,""),"")</f>
        <v/>
      </c>
      <c r="F14" s="146"/>
      <c r="G14" s="146"/>
      <c r="H14" s="145" t="e">
        <f>IF(F6&lt;&gt;"",IF(AND(F14&lt;&gt;"",G14&lt;&gt;""),F14-G14,""),"")</f>
        <v>#REF!</v>
      </c>
      <c r="I14" s="146"/>
      <c r="J14" s="146"/>
      <c r="K14" s="145" t="str">
        <f>IF(I6&lt;&gt;"",IF(AND(I14&lt;&gt;"",J14&lt;&gt;""),I14-J14,""),"")</f>
        <v/>
      </c>
      <c r="L14" s="146"/>
      <c r="M14" s="146"/>
      <c r="N14" s="145" t="str">
        <f>IF(L6&lt;&gt;"",IF(AND(L14&lt;&gt;"",M14&lt;&gt;""),L14-M14,""),"")</f>
        <v/>
      </c>
      <c r="O14" s="146"/>
      <c r="P14" s="146"/>
      <c r="Q14" s="145" t="str">
        <f>IF(O6&lt;&gt;"",IF(AND(O14&lt;&gt;"",P14&lt;&gt;""),O14-P14,""),"")</f>
        <v/>
      </c>
      <c r="R14" s="146"/>
      <c r="S14" s="146"/>
      <c r="T14" s="145" t="str">
        <f>IF(R6&lt;&gt;"",IF(AND(R14&lt;&gt;"",S14&lt;&gt;""),R14-S14,""),"")</f>
        <v/>
      </c>
      <c r="U14" s="146"/>
      <c r="V14" s="146"/>
      <c r="W14" s="145" t="str">
        <f>IF(U6&lt;&gt;"",IF(AND(U14&lt;&gt;"",V14&lt;&gt;""),U14-V14,""),"")</f>
        <v/>
      </c>
      <c r="X14" s="128"/>
      <c r="Y14" s="128"/>
    </row>
    <row r="15" spans="1:25" x14ac:dyDescent="0.3">
      <c r="A15" s="128"/>
      <c r="B15" s="137"/>
      <c r="C15" s="141"/>
      <c r="D15" s="128"/>
      <c r="E15" s="142"/>
      <c r="F15" s="141"/>
      <c r="G15" s="128"/>
      <c r="H15" s="142"/>
      <c r="I15" s="141"/>
      <c r="J15" s="128"/>
      <c r="K15" s="142"/>
      <c r="L15" s="141"/>
      <c r="M15" s="128"/>
      <c r="N15" s="142"/>
      <c r="O15" s="141"/>
      <c r="P15" s="128"/>
      <c r="Q15" s="142"/>
      <c r="R15" s="141"/>
      <c r="S15" s="128"/>
      <c r="T15" s="142"/>
      <c r="U15" s="141"/>
      <c r="V15" s="128"/>
      <c r="W15" s="142"/>
      <c r="X15" s="128"/>
      <c r="Y15" s="128"/>
    </row>
    <row r="16" spans="1:25" x14ac:dyDescent="0.3">
      <c r="A16" s="520" t="s">
        <v>104</v>
      </c>
      <c r="B16" s="520"/>
      <c r="C16" s="141"/>
      <c r="D16" s="128"/>
      <c r="E16" s="142"/>
      <c r="F16" s="141"/>
      <c r="G16" s="128"/>
      <c r="H16" s="142"/>
      <c r="I16" s="141"/>
      <c r="J16" s="128"/>
      <c r="K16" s="142"/>
      <c r="L16" s="141"/>
      <c r="M16" s="128"/>
      <c r="N16" s="142"/>
      <c r="O16" s="141"/>
      <c r="P16" s="128"/>
      <c r="Q16" s="142"/>
      <c r="R16" s="141"/>
      <c r="S16" s="128"/>
      <c r="T16" s="142"/>
      <c r="U16" s="141"/>
      <c r="V16" s="128"/>
      <c r="W16" s="142"/>
      <c r="X16" s="128"/>
      <c r="Y16" s="128"/>
    </row>
    <row r="17" spans="1:25" x14ac:dyDescent="0.3">
      <c r="A17" s="143" t="s">
        <v>133</v>
      </c>
      <c r="B17" s="144" t="s">
        <v>102</v>
      </c>
      <c r="C17" s="145" t="e">
        <f>IF(C6&lt;&gt;"",IF(AND(C18&lt;&gt;"",D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#N/A</v>
      </c>
      <c r="D17" s="145" t="e">
        <f>IF(C6&lt;&gt;"",IF(AND(C18&lt;&gt;"",D18&lt;&gt;""),"",_xlfn.IFS(AND(Standortkonzept!$G$36="kein",Standortkonzept!$G$18="Neubau"),Parameter!$H$83,AND(Standortkonzept!$G$36="kein",Standortkonzept!$G$18="Erweiterung"),Parameter!$I$83)*Standortkonzept!G$34))</f>
        <v>#N/A</v>
      </c>
      <c r="E17" s="145" t="e">
        <f>IF(C6&lt;&gt;"",IF(AND(C18&lt;&gt;"",D18&lt;&gt;""),"",C17-D17),"")</f>
        <v>#N/A</v>
      </c>
      <c r="F17" s="145" t="e">
        <f>IF(F6&lt;&gt;"",IF(AND(F18&lt;&gt;"",G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#REF!</v>
      </c>
      <c r="G17" s="145" t="e">
        <f>IF(F6&lt;&gt;"",IF(AND(F18&lt;&gt;"",G18&lt;&gt;""),"",_xlfn.IFS(AND(Standortkonzept!#REF!="Telematik",Standortkonzept!$G$18="Erweiterung"),Parameter!$I$84,AND(Standortkonzept!#REF!="Telematik",Standortkonzept!$G$18="Neubau"),Parameter!$H$84)*Standortkonzept!#REF!))</f>
        <v>#REF!</v>
      </c>
      <c r="H17" s="145" t="e">
        <f>IF(F6&lt;&gt;"",IF(AND(F18&lt;&gt;"",G18&lt;&gt;""),"",F17-G17),"")</f>
        <v>#REF!</v>
      </c>
      <c r="I17" s="145" t="e">
        <f>IF(I6&lt;&gt;"",IF(AND(I18&lt;&gt;"",J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#N/A</v>
      </c>
      <c r="J17" s="145" t="e">
        <f>IF(I6&lt;&gt;"",IF(AND(I18&lt;&gt;"",J18&lt;&gt;""),"",_xlfn.IFS(AND(Standortkonzept!$H$36="Kolonne",Standortkonzept!$G$18="Erweiterung"),Parameter!$I$85,AND(Standortkonzept!$H$36="Kolonne",Standortkonzept!$G$18="Neubau"),Parameter!$H$85)*Standortkonzept!H$34))</f>
        <v>#N/A</v>
      </c>
      <c r="K17" s="145" t="e">
        <f>IF(I6&lt;&gt;"",IF(AND(I18&lt;&gt;"",J18&lt;&gt;""),"",I17-J17),"")</f>
        <v>#N/A</v>
      </c>
      <c r="L17" s="145" t="e">
        <f>IF(L6&lt;&gt;"",IF(AND(L18&lt;&gt;"",M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#N/A</v>
      </c>
      <c r="M17" s="145" t="e">
        <f>IF(L6&lt;&gt;"",IF(AND(L18&lt;&gt;"",M18&lt;&gt;""),"",_xlfn.IFS(AND(Standortkonzept!$I$36="Kompakt",Standortkonzept!$G$18="Neubau"),Parameter!$H$86,AND(Standortkonzept!$I$36="Kompakt",Standortkonzept!$G$18="Erweiterung"),Parameter!$I$86)*Standortkonzept!I$34))</f>
        <v>#N/A</v>
      </c>
      <c r="N17" s="145" t="e">
        <f>IF(L6&lt;&gt;"",IF(AND(L18&lt;&gt;"",M18&lt;&gt;""),"",L17-M17),"")</f>
        <v>#N/A</v>
      </c>
      <c r="O17" s="145" t="b">
        <f>IF(O6&lt;&gt;"",IF(AND(O18&lt;&gt;"",P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0</v>
      </c>
      <c r="P17" s="145" t="b">
        <f>IF(O6&lt;&gt;"",IF(AND(O18&lt;&gt;"",P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J$34))</f>
        <v>0</v>
      </c>
      <c r="Q17" s="145" t="str">
        <f>IF(O6&lt;&gt;"",IF(AND(O18&lt;&gt;"",P18&lt;&gt;""),"",O17-P17),"")</f>
        <v/>
      </c>
      <c r="R17" s="145" t="b">
        <f>IF(R6&lt;&gt;"",IF(AND(R18&lt;&gt;"",S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0</v>
      </c>
      <c r="S17" s="145" t="b">
        <f>IF(R6&lt;&gt;"",IF(AND(R18&lt;&gt;"",S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K$34))</f>
        <v>0</v>
      </c>
      <c r="T17" s="145" t="str">
        <f>IF(R6&lt;&gt;"",IF(AND(R18&lt;&gt;"",S18&lt;&gt;""),"",R17-S17),"")</f>
        <v/>
      </c>
      <c r="U17" s="145" t="b">
        <f>IF(U6&lt;&gt;"",IF(AND(U18&lt;&gt;"",V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G$20))</f>
        <v>0</v>
      </c>
      <c r="V17" s="145" t="b">
        <f>IF(U6&lt;&gt;"",IF(AND(U18&lt;&gt;"",V18&lt;&gt;""),"",_xlfn.IFS(AND(Standortkonzept!$G$22="Telematik",Standortkonzept!$G$18="Erweiterung"),Parameter!$I$84,AND(Standortkonzept!$G$22="Telematik",Standortkonzept!$G$18="Neubau"),Parameter!$H$84,AND(Standortkonzept!$G$22="kein",Standortkonzept!$G$18="Neubau"),Parameter!$H$83,AND(Standortkonzept!$G$22="kein",Standortkonzept!$G$18="Erweiterung"),Parameter!$I$83,AND(Standortkonzept!$G$22="Kolonne",Standortkonzept!$G$18="Erweiterung"),Parameter!$I$85,AND(Standortkonzept!$G$22="Kompakt",Standortkonzept!$G$18="Neubau"),Parameter!$H$86,AND(Standortkonzept!$G$22="Kompakt",Standortkonzept!$G$18="Erweiterung"),Parameter!$I$86,AND(Standortkonzept!$G$22="Kolonne",Standortkonzept!$G$18="Neubau"),Parameter!$H$85)*Standortkonzept!L$34))</f>
        <v>0</v>
      </c>
      <c r="W17" s="145" t="str">
        <f>IF(U6&lt;&gt;"",IF(AND(U18&lt;&gt;"",V18&lt;&gt;""),"",U17-V17),"")</f>
        <v/>
      </c>
      <c r="X17" s="128"/>
      <c r="Y17" s="128"/>
    </row>
    <row r="18" spans="1:25" x14ac:dyDescent="0.3">
      <c r="A18" s="143" t="s">
        <v>134</v>
      </c>
      <c r="B18" s="144" t="s">
        <v>102</v>
      </c>
      <c r="C18" s="146"/>
      <c r="D18" s="146"/>
      <c r="E18" s="145" t="str">
        <f>IF(C6&lt;&gt;"",IF(AND(C18&lt;&gt;"",D18&lt;&gt;""),C18-D18,""),"")</f>
        <v/>
      </c>
      <c r="F18" s="146"/>
      <c r="G18" s="146"/>
      <c r="H18" s="145" t="e">
        <f>IF(F6&lt;&gt;"",IF(AND(F18&lt;&gt;"",G18&lt;&gt;""),F18-G18,""),"")</f>
        <v>#REF!</v>
      </c>
      <c r="I18" s="146"/>
      <c r="J18" s="146"/>
      <c r="K18" s="145" t="str">
        <f>IF(I6&lt;&gt;"",IF(AND(I18&lt;&gt;"",J18&lt;&gt;""),I18-J18,""),"")</f>
        <v/>
      </c>
      <c r="L18" s="146"/>
      <c r="M18" s="146"/>
      <c r="N18" s="145" t="str">
        <f>IF(L6&lt;&gt;"",IF(AND(L18&lt;&gt;"",M18&lt;&gt;""),L18-M18,""),"")</f>
        <v/>
      </c>
      <c r="O18" s="146"/>
      <c r="P18" s="146"/>
      <c r="Q18" s="145" t="str">
        <f>IF(O6&lt;&gt;"",IF(AND(O18&lt;&gt;"",P18&lt;&gt;""),O18-P18,""),"")</f>
        <v/>
      </c>
      <c r="R18" s="146"/>
      <c r="S18" s="146"/>
      <c r="T18" s="145" t="str">
        <f>IF(R6&lt;&gt;"",IF(AND(R18&lt;&gt;"",S18&lt;&gt;""),R18-S18,""),"")</f>
        <v/>
      </c>
      <c r="U18" s="146"/>
      <c r="V18" s="146"/>
      <c r="W18" s="145" t="str">
        <f>IF(U6&lt;&gt;"",IF(AND(U18&lt;&gt;"",V18&lt;&gt;""),U18-V18,""),"")</f>
        <v/>
      </c>
      <c r="X18" s="128"/>
      <c r="Y18" s="128"/>
    </row>
    <row r="19" spans="1:25" x14ac:dyDescent="0.3">
      <c r="A19" s="143" t="s">
        <v>135</v>
      </c>
      <c r="B19" s="144" t="s">
        <v>102</v>
      </c>
      <c r="C19" s="145" t="e">
        <f>IF(C6&lt;&gt;"",IF(AND(C20&lt;&gt;"",D20&lt;&gt;""),"",_xlfn.IFS(AND(Standortkonzept!$G$22="Telematik",Standortkonzept!$G$18="Erweiterung"),Parameter!$K$84,AND(Standortkonzept!$G$22="Telematik",Standortkonzept!$G$18="Neubau"),Parameter!$J$84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#N/A</v>
      </c>
      <c r="D19" s="145" t="e">
        <f>IF(C6&lt;&gt;"",IF(AND(C20&lt;&gt;"",D20&lt;&gt;""),"",_xlfn.IFS(AND(Standortkonzept!$G$36="kein",Standortkonzept!$G$18="Neubau"),Parameter!$J$83,AND(Standortkonzept!$G$36="kein",Standortkonzept!$G$18="Erweiterung"),Parameter!$K$83)*Parameter!$J$85)*Standortkonzept!$G$34)</f>
        <v>#N/A</v>
      </c>
      <c r="E19" s="145" t="e">
        <f>IF(C6&lt;&gt;"",IF(AND(C20&lt;&gt;"",D20&lt;&gt;""),"",C19-D19),"")</f>
        <v>#N/A</v>
      </c>
      <c r="F19" s="145" t="e">
        <f>IF(F6&lt;&gt;"",IF(AND(F20&lt;&gt;"",G20&lt;&gt;""),"",_xlfn.IFS(AND(Standortkonzept!$G$22="Telematik",Standortkonzept!$G$18="Erweiterung"),Parameter!$K$84,AND(Standortkonzept!$G$22="Telematik",Standortkonzept!$G$18="Neubau"),Parameter!$J$84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$84)*Standortkonzept!$G$20))</f>
        <v>#REF!</v>
      </c>
      <c r="G19" s="145" t="e">
        <f>IF(F6&lt;&gt;"",IF(AND(F20&lt;&gt;"",G20&lt;&gt;""),"",_xlfn.IFS(AND(Standortkonzept!#REF!="Telematik",Standortkonzept!$G$18="Erweiterung"),Parameter!$K$84,AND(Standortkonzept!#REF!="Telematik",Standortkonzept!$G$18="Neubau"),Parameter!$J$84)*Standortkonzept!#REF!))</f>
        <v>#REF!</v>
      </c>
      <c r="H19" s="145" t="e">
        <f>IF(F6&lt;&gt;"",IF(AND(F20&lt;&gt;"",G20&lt;&gt;""),"",F19-G19),"")</f>
        <v>#REF!</v>
      </c>
      <c r="I19" s="145" t="e">
        <f>IF(I6&lt;&gt;"",IF(AND(I20&lt;&gt;"",J20&lt;&gt;""),"",_xlfn.IFS(AND(Standortkonzept!$G$22="Telematik",Standortkonzept!$G$18="Erweiterung"),Parameter!$K$84,AND(Standortkonzept!$G$22="Telematik",Standortkonzept!$G$18="Neubau"),Parameter!$J$84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#N/A</v>
      </c>
      <c r="J19" s="145" t="e">
        <f>IF(I6&lt;&gt;"",IF(AND(I20&lt;&gt;"",J20&lt;&gt;""),"",_xlfn.IFS(AND(Standortkonzept!$H$36="Kolonne",Standortkonzept!$G$18="Erweiterung"),Parameter!$K$85,AND(Standortkonzept!$H$36="Kolonne",Standortkonzept!$G$18="Neubau"),Parameter!$J$85)*Standortkonzept!$H$34))</f>
        <v>#N/A</v>
      </c>
      <c r="K19" s="145" t="e">
        <f>IF(I6&lt;&gt;"",IF(AND(I20&lt;&gt;"",J20&lt;&gt;""),"",I19-J19),"")</f>
        <v>#N/A</v>
      </c>
      <c r="L19" s="145" t="e">
        <f>IF(L6&lt;&gt;"",IF(AND(L20&lt;&gt;"",M20&lt;&gt;""),"",_xlfn.IFS(AND(Standortkonzept!$G$22="Telematik",Standortkonzept!$G$18="Erweiterung"),Parameter!$K$84,AND(Standortkonzept!$G$22="Telematik",Standortkonzept!$G$18="Neubau"),Parameter!$J$84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#N/A</v>
      </c>
      <c r="M19" s="145" t="e">
        <f>IF(L6&lt;&gt;"",IF(AND(L20&lt;&gt;"",M20&lt;&gt;""),"",_xlfn.IFS(AND(Standortkonzept!$I$36="Kompakt",Standortkonzept!$G$18="Neubau"),Parameter!$J$86,AND(Standortkonzept!$I$36="Kompakt",Standortkonzept!$G$18="Erweiterung"),Parameter!$K$86)*Standortkonzept!$I$34))</f>
        <v>#N/A</v>
      </c>
      <c r="N19" s="145" t="e">
        <f>IF(L6&lt;&gt;"",IF(AND(L20&lt;&gt;"",M20&lt;&gt;""),"",L19-M19),"")</f>
        <v>#N/A</v>
      </c>
      <c r="O19" s="145" t="b">
        <f>IF(O6&lt;&gt;"",IF(AND(O20&lt;&gt;"",P20&lt;&gt;""),"",_xlfn.IFS(AND(Standortkonzept!$G$22="Telematik",Standortkonzept!$G$18="Erweiterung"),Parameter!$I$84,AND(Standortkonzept!$G$22="Telematik",Standortkonzept!$G$18="Neubau"),Parameter!$H$84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0</v>
      </c>
      <c r="P19" s="147"/>
      <c r="Q19" s="147" t="str">
        <f>IF(O6&lt;&gt;"",IF(AND(O20&lt;&gt;"",P20&lt;&gt;""),"",O19-P19),"")</f>
        <v/>
      </c>
      <c r="R19" s="147" t="b">
        <f>IF(R6&lt;&gt;"",IF(AND(R20&lt;&gt;"",S20&lt;&gt;""),"",_xlfn.IFS(AND(Standortkonzept!$G$22="Telematik",Standortkonzept!$G$18="Erweiterung"),Parameter!$I$84,AND(Standortkonzept!$G$22="Telematik",Standortkonzept!$G$18="Neubau"),Parameter!$H$84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0</v>
      </c>
      <c r="S19" s="147"/>
      <c r="T19" s="147" t="str">
        <f>IF(R6&lt;&gt;"",IF(AND(R20&lt;&gt;"",S20&lt;&gt;""),"",R19-S19),"")</f>
        <v/>
      </c>
      <c r="U19" s="147" t="b">
        <f>IF(U6&lt;&gt;"",IF(AND(U20&lt;&gt;"",V20&lt;&gt;""),"",_xlfn.IFS(AND(Standortkonzept!$G$22="Telematik",Standortkonzept!$G$18="Erweiterung"),Parameter!$I$84,AND(Standortkonzept!$G$22="Telematik",Standortkonzept!$G$18="Neubau"),Parameter!$H$84,AND(Standortkonzept!$G$22="kein",Standortkonzept!$G$18="Neubau"),Parameter!$J$83,AND(Standortkonzept!$G$22="kein",Standortkonzept!$G$18="Erweiterung"),Parameter!$K$83,AND(Standortkonzept!$G$22="Kolonne",Standortkonzept!$G$18="Erweiterung"),Parameter!$K$85,AND(Standortkonzept!$G$22="Kompakt",Standortkonzept!$G$18="Neubau"),Parameter!$J$86,AND(Standortkonzept!$G$22="Kompakt",Standortkonzept!$G$18="Erweiterung"),Parameter!$K$86,AND(Standortkonzept!$G$22="Kolonne",Standortkonzept!$G$18="Neubau"),Parameter!$J$85)*Standortkonzept!$G$20))</f>
        <v>0</v>
      </c>
      <c r="V19" s="147"/>
      <c r="W19" s="145" t="str">
        <f>IF(U6&lt;&gt;"",IF(AND(U20&lt;&gt;"",V20&lt;&gt;""),"",U19-V19),"")</f>
        <v/>
      </c>
      <c r="X19" s="128"/>
      <c r="Y19" s="128"/>
    </row>
    <row r="20" spans="1:25" x14ac:dyDescent="0.3">
      <c r="A20" s="143" t="s">
        <v>298</v>
      </c>
      <c r="B20" s="144" t="s">
        <v>102</v>
      </c>
      <c r="C20" s="146"/>
      <c r="D20" s="146"/>
      <c r="E20" s="145" t="str">
        <f>IF(C6&lt;&gt;"",IF(AND(C20&lt;&gt;"",D20&lt;&gt;""),C20-D20,""),"")</f>
        <v/>
      </c>
      <c r="F20" s="146"/>
      <c r="G20" s="146"/>
      <c r="H20" s="145" t="e">
        <f>IF(F6&lt;&gt;"",IF(AND(F20&lt;&gt;"",G20&lt;&gt;""),F20-G20,""),"")</f>
        <v>#REF!</v>
      </c>
      <c r="I20" s="146"/>
      <c r="J20" s="146"/>
      <c r="K20" s="145" t="str">
        <f>IF(I6&lt;&gt;"",IF(AND(I20&lt;&gt;"",J20&lt;&gt;""),I20-J20,""),"")</f>
        <v/>
      </c>
      <c r="L20" s="146"/>
      <c r="M20" s="146"/>
      <c r="N20" s="145" t="str">
        <f>IF(L6&lt;&gt;"",IF(AND(L20&lt;&gt;"",M20&lt;&gt;""),L20-M20,""),"")</f>
        <v/>
      </c>
      <c r="O20" s="146"/>
      <c r="P20" s="146"/>
      <c r="Q20" s="145" t="str">
        <f>IF(O6&lt;&gt;"",IF(AND(O20&lt;&gt;"",P20&lt;&gt;""),O20-P20,""),"")</f>
        <v/>
      </c>
      <c r="R20" s="146"/>
      <c r="S20" s="146"/>
      <c r="T20" s="145" t="str">
        <f>IF(R6&lt;&gt;"",IF(AND(R20&lt;&gt;"",S20&lt;&gt;""),R20-S20,""),"")</f>
        <v/>
      </c>
      <c r="U20" s="146"/>
      <c r="V20" s="146"/>
      <c r="W20" s="145" t="str">
        <f>IF(U6&lt;&gt;"",IF(AND(U20&lt;&gt;"",V20&lt;&gt;""),U20-V20,""),"")</f>
        <v/>
      </c>
      <c r="X20" s="128"/>
      <c r="Y20" s="128"/>
    </row>
    <row r="21" spans="1:25" x14ac:dyDescent="0.3">
      <c r="A21" s="128"/>
      <c r="B21" s="137"/>
      <c r="C21" s="148"/>
      <c r="D21" s="149"/>
      <c r="E21" s="150"/>
      <c r="F21" s="148"/>
      <c r="G21" s="149"/>
      <c r="H21" s="150"/>
      <c r="I21" s="148"/>
      <c r="J21" s="149"/>
      <c r="K21" s="150"/>
      <c r="L21" s="148"/>
      <c r="M21" s="149"/>
      <c r="N21" s="150"/>
      <c r="O21" s="148"/>
      <c r="P21" s="149"/>
      <c r="Q21" s="150"/>
      <c r="R21" s="148"/>
      <c r="S21" s="149"/>
      <c r="T21" s="150"/>
      <c r="U21" s="148"/>
      <c r="V21" s="149"/>
      <c r="W21" s="150"/>
      <c r="X21" s="128"/>
      <c r="Y21" s="128"/>
    </row>
    <row r="22" spans="1:25" x14ac:dyDescent="0.3">
      <c r="A22" s="520" t="s">
        <v>105</v>
      </c>
      <c r="B22" s="520"/>
      <c r="C22" s="141"/>
      <c r="D22" s="128"/>
      <c r="E22" s="142"/>
      <c r="F22" s="141"/>
      <c r="G22" s="128"/>
      <c r="H22" s="142"/>
      <c r="I22" s="141"/>
      <c r="J22" s="128"/>
      <c r="K22" s="142"/>
      <c r="L22" s="141"/>
      <c r="M22" s="128"/>
      <c r="N22" s="142"/>
      <c r="O22" s="141"/>
      <c r="P22" s="128"/>
      <c r="Q22" s="142"/>
      <c r="R22" s="141"/>
      <c r="S22" s="128"/>
      <c r="T22" s="142"/>
      <c r="U22" s="141"/>
      <c r="V22" s="128"/>
      <c r="W22" s="142"/>
      <c r="X22" s="128"/>
      <c r="Y22" s="128"/>
    </row>
    <row r="23" spans="1:25" x14ac:dyDescent="0.3">
      <c r="A23" s="143" t="s">
        <v>136</v>
      </c>
      <c r="B23" s="144" t="s">
        <v>102</v>
      </c>
      <c r="C23" s="145">
        <f>IF(C6&lt;&gt;"",IF(AND(C24&lt;&gt;"",D24&lt;&gt;""),"",Standortkonzept!$G$19*Parameter!$J$96))</f>
        <v>0</v>
      </c>
      <c r="D23" s="145">
        <f>IF(C6&lt;&gt;"",IF(AND(C24&lt;&gt;"",D24&lt;&gt;""),"",Standortkonzept!G$33*Parameter!$J$96),"")</f>
        <v>0</v>
      </c>
      <c r="E23" s="145">
        <f>IF(C6&lt;&gt;"",IF(AND(C24&lt;&gt;"",D24&lt;&gt;""),"",C23-D23),"")</f>
        <v>0</v>
      </c>
      <c r="F23" s="145" t="e">
        <f>IF(F6&lt;&gt;"",IF(AND(F24&lt;&gt;"",G24&lt;&gt;""),"",Standortkonzept!$G$19*Parameter!$J$96))</f>
        <v>#REF!</v>
      </c>
      <c r="G23" s="145" t="e">
        <f>IF(F6&lt;&gt;"",IF(AND(F24&lt;&gt;"",G24&lt;&gt;""),"",Standortkonzept!G$33*Parameter!$J$96),"")</f>
        <v>#REF!</v>
      </c>
      <c r="H23" s="145" t="e">
        <f>IF(F6&lt;&gt;"",IF(AND(F24&lt;&gt;"",G24&lt;&gt;""),"",F23-G23),"")</f>
        <v>#REF!</v>
      </c>
      <c r="I23" s="145">
        <f>IF(I6&lt;&gt;"",IF(AND(I24&lt;&gt;"",J24&lt;&gt;""),"",Standortkonzept!$G$19*Parameter!$J$96))</f>
        <v>0</v>
      </c>
      <c r="J23" s="145">
        <f>IF(I6&lt;&gt;"",IF(AND(I24&lt;&gt;"",J24&lt;&gt;""),"",Standortkonzept!H$33*Parameter!$J$96),"")</f>
        <v>0</v>
      </c>
      <c r="K23" s="145">
        <f>IF(I6&lt;&gt;"",IF(AND(I24&lt;&gt;"",J24&lt;&gt;""),"",I23-J23),"")</f>
        <v>0</v>
      </c>
      <c r="L23" s="145">
        <f>IF(L6&lt;&gt;"",IF(AND(L24&lt;&gt;"",M24&lt;&gt;""),"",Standortkonzept!$G$19*Parameter!$J$96))</f>
        <v>0</v>
      </c>
      <c r="M23" s="145">
        <f>IF(L6&lt;&gt;"",IF(AND(L24&lt;&gt;"",M24&lt;&gt;""),"",Standortkonzept!H$33*Parameter!$J$96),"")</f>
        <v>0</v>
      </c>
      <c r="N23" s="145">
        <f>IF(L6&lt;&gt;"",IF(AND(L24&lt;&gt;"",M24&lt;&gt;""),"",L23-M23),"")</f>
        <v>0</v>
      </c>
      <c r="O23" s="145" t="b">
        <f>IF(O6&lt;&gt;"",IF(AND(O24&lt;&gt;"",P24&lt;&gt;""),"",Standortkonzept!$G$19*Parameter!$J$96))</f>
        <v>0</v>
      </c>
      <c r="P23" s="145" t="str">
        <f>IF(O6&lt;&gt;"",IF(AND(O24&lt;&gt;"",P24&lt;&gt;""),"",Standortkonzept!I$33*Parameter!$J$96),"")</f>
        <v/>
      </c>
      <c r="Q23" s="145" t="str">
        <f>IF(O6&lt;&gt;"",IF(AND(O24&lt;&gt;"",P24&lt;&gt;""),"",O23-P23),"")</f>
        <v/>
      </c>
      <c r="R23" s="145" t="b">
        <f>IF(R6&lt;&gt;"",IF(AND(R24&lt;&gt;"",S24&lt;&gt;""),"",Standortkonzept!$G$19*Parameter!$J$96))</f>
        <v>0</v>
      </c>
      <c r="S23" s="145" t="str">
        <f>IF(R6&lt;&gt;"",IF(AND(R24&lt;&gt;"",S24&lt;&gt;""),"",Standortkonzept!J$33*Parameter!$J$96),"")</f>
        <v/>
      </c>
      <c r="T23" s="145" t="str">
        <f>IF(R6&lt;&gt;"",IF(AND(R24&lt;&gt;"",S24&lt;&gt;""),"",R23-S23),"")</f>
        <v/>
      </c>
      <c r="U23" s="145" t="b">
        <f>IF(U6&lt;&gt;"",IF(AND(U24&lt;&gt;"",V24&lt;&gt;""),"",Standortkonzept!$G$19*Parameter!$J$96))</f>
        <v>0</v>
      </c>
      <c r="V23" s="145" t="str">
        <f>IF(U6&lt;&gt;"",IF(AND(U24&lt;&gt;"",V24&lt;&gt;""),"",Standortkonzept!K$33*Parameter!$J$96),"")</f>
        <v/>
      </c>
      <c r="W23" s="145" t="str">
        <f>IF(U6&lt;&gt;"",IF(AND(U24&lt;&gt;"",V24&lt;&gt;""),"",U23-V23),"")</f>
        <v/>
      </c>
      <c r="X23" s="128"/>
      <c r="Y23" s="128"/>
    </row>
    <row r="24" spans="1:25" x14ac:dyDescent="0.3">
      <c r="A24" s="143" t="s">
        <v>137</v>
      </c>
      <c r="B24" s="144" t="s">
        <v>102</v>
      </c>
      <c r="C24" s="146"/>
      <c r="D24" s="146"/>
      <c r="E24" s="145" t="str">
        <f>IF(C6&lt;&gt;"",IF(AND(C24&lt;&gt;"",D24&lt;&gt;""),C24-D24,""),"")</f>
        <v/>
      </c>
      <c r="F24" s="146"/>
      <c r="G24" s="146"/>
      <c r="H24" s="145" t="e">
        <f>IF(F6&lt;&gt;"",IF(AND(F24&lt;&gt;"",G24&lt;&gt;""),F24-G24,""),"")</f>
        <v>#REF!</v>
      </c>
      <c r="I24" s="146"/>
      <c r="J24" s="146"/>
      <c r="K24" s="145" t="str">
        <f>IF(I6&lt;&gt;"",IF(AND(I24&lt;&gt;"",J24&lt;&gt;""),I24-J24,""),"")</f>
        <v/>
      </c>
      <c r="L24" s="146"/>
      <c r="M24" s="146"/>
      <c r="N24" s="145" t="str">
        <f>IF(L6&lt;&gt;"",IF(AND(L24&lt;&gt;"",M24&lt;&gt;""),L24-M24,""),"")</f>
        <v/>
      </c>
      <c r="O24" s="146"/>
      <c r="P24" s="146"/>
      <c r="Q24" s="145" t="str">
        <f>IF(O6&lt;&gt;"",IF(AND(O24&lt;&gt;"",P24&lt;&gt;""),O24-P24,""),"")</f>
        <v/>
      </c>
      <c r="R24" s="146"/>
      <c r="S24" s="146"/>
      <c r="T24" s="145" t="str">
        <f>IF(R6&lt;&gt;"",IF(AND(R24&lt;&gt;"",S24&lt;&gt;""),R24-S24,""),"")</f>
        <v/>
      </c>
      <c r="U24" s="146"/>
      <c r="V24" s="146"/>
      <c r="W24" s="145" t="str">
        <f>IF(U6&lt;&gt;"",IF(AND(U24&lt;&gt;"",V24&lt;&gt;""),U24-V24,""),"")</f>
        <v/>
      </c>
      <c r="X24" s="128"/>
      <c r="Y24" s="128"/>
    </row>
    <row r="25" spans="1:25" x14ac:dyDescent="0.3">
      <c r="A25" s="128"/>
      <c r="B25" s="137"/>
      <c r="C25" s="141"/>
      <c r="D25" s="128"/>
      <c r="E25" s="142"/>
      <c r="F25" s="141"/>
      <c r="G25" s="128"/>
      <c r="H25" s="142"/>
      <c r="I25" s="141"/>
      <c r="J25" s="128"/>
      <c r="K25" s="142"/>
      <c r="L25" s="141"/>
      <c r="M25" s="128"/>
      <c r="N25" s="142"/>
      <c r="O25" s="141"/>
      <c r="P25" s="128"/>
      <c r="Q25" s="142"/>
      <c r="R25" s="141"/>
      <c r="S25" s="128"/>
      <c r="T25" s="142"/>
      <c r="U25" s="141"/>
      <c r="V25" s="128"/>
      <c r="W25" s="142"/>
      <c r="X25" s="128"/>
      <c r="Y25" s="128"/>
    </row>
    <row r="26" spans="1:25" x14ac:dyDescent="0.3">
      <c r="A26" s="520" t="s">
        <v>106</v>
      </c>
      <c r="B26" s="520"/>
      <c r="C26" s="141"/>
      <c r="D26" s="128"/>
      <c r="E26" s="142"/>
      <c r="F26" s="141"/>
      <c r="G26" s="128"/>
      <c r="H26" s="142"/>
      <c r="I26" s="141"/>
      <c r="J26" s="128"/>
      <c r="K26" s="142"/>
      <c r="L26" s="141"/>
      <c r="M26" s="128"/>
      <c r="N26" s="142"/>
      <c r="O26" s="141"/>
      <c r="P26" s="128"/>
      <c r="Q26" s="142"/>
      <c r="R26" s="141"/>
      <c r="S26" s="128"/>
      <c r="T26" s="142"/>
      <c r="U26" s="141"/>
      <c r="V26" s="128"/>
      <c r="W26" s="142"/>
      <c r="X26" s="128"/>
      <c r="Y26" s="128"/>
    </row>
    <row r="27" spans="1:25" x14ac:dyDescent="0.3">
      <c r="A27" s="518" t="s">
        <v>139</v>
      </c>
      <c r="B27" s="519"/>
      <c r="C27" s="141"/>
      <c r="D27" s="128"/>
      <c r="E27" s="142"/>
      <c r="F27" s="141"/>
      <c r="G27" s="128"/>
      <c r="H27" s="142"/>
      <c r="I27" s="141"/>
      <c r="J27" s="128"/>
      <c r="K27" s="142"/>
      <c r="L27" s="141"/>
      <c r="M27" s="128"/>
      <c r="N27" s="142"/>
      <c r="O27" s="141"/>
      <c r="P27" s="128"/>
      <c r="Q27" s="142"/>
      <c r="R27" s="141"/>
      <c r="S27" s="128"/>
      <c r="T27" s="142"/>
      <c r="U27" s="141"/>
      <c r="V27" s="128"/>
      <c r="W27" s="142"/>
      <c r="X27" s="128"/>
      <c r="Y27" s="128"/>
    </row>
    <row r="28" spans="1:25" x14ac:dyDescent="0.3">
      <c r="A28" s="143" t="s">
        <v>300</v>
      </c>
      <c r="B28" s="144"/>
      <c r="C28" s="151" t="str">
        <f>IF(Standortkonzept!G$46="ja","ja","nein")</f>
        <v>nein</v>
      </c>
      <c r="D28" s="128"/>
      <c r="E28" s="142"/>
      <c r="F28" s="151" t="e">
        <f>IF(Standortkonzept!#REF!="ja","ja","nein")</f>
        <v>#REF!</v>
      </c>
      <c r="G28" s="152"/>
      <c r="H28" s="153"/>
      <c r="I28" s="151" t="str">
        <f>IF(Standortkonzept!H$46="ja","ja","nein")</f>
        <v>nein</v>
      </c>
      <c r="J28" s="152"/>
      <c r="K28" s="153"/>
      <c r="L28" s="151" t="str">
        <f>IF(Standortkonzept!I$46="ja","ja","nein")</f>
        <v>nein</v>
      </c>
      <c r="M28" s="152"/>
      <c r="N28" s="153"/>
      <c r="O28" s="151" t="str">
        <f>IF(OR(Standortkonzept!J46="ja",Standortkonzept!J46="nein"),Standortkonzept!J46,"")</f>
        <v/>
      </c>
      <c r="P28" s="152"/>
      <c r="Q28" s="153"/>
      <c r="R28" s="151" t="str">
        <f>IF(OR(Standortkonzept!K46="ja",Standortkonzept!K46="nein"),Standortkonzept!K46,"")</f>
        <v/>
      </c>
      <c r="S28" s="152"/>
      <c r="T28" s="153"/>
      <c r="U28" s="151" t="str">
        <f>IF(OR(Standortkonzept!L46="ja",Standortkonzept!L46="nein"),Standortkonzept!L46,"")</f>
        <v/>
      </c>
      <c r="V28" s="152"/>
      <c r="W28" s="153"/>
      <c r="X28" s="128"/>
      <c r="Y28" s="128"/>
    </row>
    <row r="29" spans="1:25" ht="30" customHeight="1" x14ac:dyDescent="0.3">
      <c r="A29" s="521" t="s">
        <v>127</v>
      </c>
      <c r="B29" s="522"/>
      <c r="C29" s="141"/>
      <c r="D29" s="128"/>
      <c r="E29" s="142"/>
      <c r="F29" s="141"/>
      <c r="G29" s="128"/>
      <c r="H29" s="142"/>
      <c r="I29" s="141"/>
      <c r="J29" s="128"/>
      <c r="K29" s="142"/>
      <c r="L29" s="141"/>
      <c r="M29" s="128"/>
      <c r="N29" s="142"/>
      <c r="O29" s="141"/>
      <c r="P29" s="128"/>
      <c r="Q29" s="142"/>
      <c r="R29" s="141"/>
      <c r="S29" s="128"/>
      <c r="T29" s="142"/>
      <c r="U29" s="141"/>
      <c r="V29" s="128"/>
      <c r="W29" s="142"/>
      <c r="X29" s="128"/>
      <c r="Y29" s="128"/>
    </row>
    <row r="30" spans="1:25" x14ac:dyDescent="0.3">
      <c r="A30" s="143" t="s">
        <v>138</v>
      </c>
      <c r="B30" s="144"/>
      <c r="C30" s="146"/>
      <c r="D30" s="128"/>
      <c r="E30" s="142"/>
      <c r="F30" s="146"/>
      <c r="G30" s="128"/>
      <c r="H30" s="142"/>
      <c r="I30" s="146"/>
      <c r="J30" s="128"/>
      <c r="K30" s="142"/>
      <c r="L30" s="146"/>
      <c r="M30" s="128"/>
      <c r="N30" s="142"/>
      <c r="O30" s="146"/>
      <c r="P30" s="128"/>
      <c r="Q30" s="142"/>
      <c r="R30" s="146"/>
      <c r="S30" s="128"/>
      <c r="T30" s="142"/>
      <c r="U30" s="146"/>
      <c r="V30" s="128"/>
      <c r="W30" s="142"/>
      <c r="X30" s="128"/>
      <c r="Y30" s="128"/>
    </row>
    <row r="31" spans="1:25" x14ac:dyDescent="0.3">
      <c r="A31" s="518" t="s">
        <v>126</v>
      </c>
      <c r="B31" s="519"/>
      <c r="C31" s="141"/>
      <c r="D31" s="128"/>
      <c r="E31" s="142"/>
      <c r="F31" s="141"/>
      <c r="G31" s="128"/>
      <c r="H31" s="142"/>
      <c r="I31" s="141"/>
      <c r="J31" s="128"/>
      <c r="K31" s="142"/>
      <c r="L31" s="141"/>
      <c r="M31" s="128"/>
      <c r="N31" s="142"/>
      <c r="O31" s="141"/>
      <c r="P31" s="128"/>
      <c r="Q31" s="142"/>
      <c r="R31" s="141"/>
      <c r="S31" s="128"/>
      <c r="T31" s="142"/>
      <c r="U31" s="141"/>
      <c r="V31" s="128"/>
      <c r="W31" s="142"/>
      <c r="X31" s="128"/>
      <c r="Y31" s="128"/>
    </row>
    <row r="32" spans="1:25" x14ac:dyDescent="0.3">
      <c r="A32" s="143" t="s">
        <v>106</v>
      </c>
      <c r="B32" s="144" t="s">
        <v>102</v>
      </c>
      <c r="C32" s="145">
        <f>IF(C6&lt;&gt;"",IF(C28="ja",IF(C30&gt;0,C30,(Parameter!$J$99*Standortkonzept!$G$19)/100),0))</f>
        <v>0</v>
      </c>
      <c r="D32" s="145">
        <f>IF(C$32&lt;&gt;0,Standortkonzept!G$33*Parameter!$J$99/100,0)</f>
        <v>0</v>
      </c>
      <c r="E32" s="145">
        <f>IF(C6&lt;&gt;"",C32-D32,"")</f>
        <v>0</v>
      </c>
      <c r="F32" s="145" t="e">
        <f>IF(F6&lt;&gt;"",IF(F28="ja",IF(F30&gt;0,F30,(Parameter!$J$99*Standortkonzept!$G$19)/100),0))</f>
        <v>#REF!</v>
      </c>
      <c r="G32" s="145" t="e">
        <f>IF(F$32&lt;&gt;0,Standortkonzept!#REF!*Parameter!$J$99/100,0)</f>
        <v>#REF!</v>
      </c>
      <c r="H32" s="145" t="e">
        <f>IF(F6&lt;&gt;"",F32-G32,"")</f>
        <v>#REF!</v>
      </c>
      <c r="I32" s="145">
        <f>IF(I6&lt;&gt;"",IF(I28="ja",IF(I30&gt;0,I30,(Parameter!$J$99*Standortkonzept!$G$19)/100),0))</f>
        <v>0</v>
      </c>
      <c r="J32" s="145">
        <f>IF(I$32&lt;&gt;0,Standortkonzept!H$33*Parameter!$J$99/100,0)</f>
        <v>0</v>
      </c>
      <c r="K32" s="145">
        <f>IF(I6&lt;&gt;"",I32-J32,"")</f>
        <v>0</v>
      </c>
      <c r="L32" s="145">
        <f>IF(L6&lt;&gt;"",IF(L28="ja",IF(L30&gt;0,L30,(Parameter!$J$99*Standortkonzept!$G$19)/100),0))</f>
        <v>0</v>
      </c>
      <c r="M32" s="145">
        <f>IF(L$32&lt;&gt;0,Standortkonzept!I$33*Parameter!$J$99/100,0)</f>
        <v>0</v>
      </c>
      <c r="N32" s="145">
        <f>IF(L6&lt;&gt;"",L32-M32,"")</f>
        <v>0</v>
      </c>
      <c r="O32" s="147"/>
      <c r="P32" s="154"/>
      <c r="Q32" s="147"/>
      <c r="R32" s="147"/>
      <c r="S32" s="154"/>
      <c r="T32" s="147"/>
      <c r="U32" s="147"/>
      <c r="V32" s="155">
        <v>0</v>
      </c>
      <c r="W32" s="145" t="str">
        <f>IF(U6&lt;&gt;"",U32-V32,"")</f>
        <v/>
      </c>
      <c r="X32" s="128"/>
      <c r="Y32" s="128"/>
    </row>
    <row r="33" spans="1:25" x14ac:dyDescent="0.3">
      <c r="A33" s="128"/>
      <c r="B33" s="137"/>
      <c r="C33" s="141"/>
      <c r="D33" s="128"/>
      <c r="E33" s="142"/>
      <c r="F33" s="141"/>
      <c r="G33" s="128"/>
      <c r="H33" s="142"/>
      <c r="I33" s="141"/>
      <c r="J33" s="128"/>
      <c r="K33" s="142"/>
      <c r="L33" s="141"/>
      <c r="M33" s="128"/>
      <c r="N33" s="142"/>
      <c r="O33" s="141"/>
      <c r="P33" s="128"/>
      <c r="Q33" s="142"/>
      <c r="R33" s="141"/>
      <c r="S33" s="128"/>
      <c r="T33" s="142"/>
      <c r="U33" s="141"/>
      <c r="V33" s="128"/>
      <c r="W33" s="142"/>
      <c r="X33" s="128"/>
      <c r="Y33" s="128"/>
    </row>
    <row r="34" spans="1:25" s="133" customFormat="1" x14ac:dyDescent="0.3">
      <c r="A34" s="516" t="s">
        <v>198</v>
      </c>
      <c r="B34" s="517"/>
      <c r="C34" s="156" t="e">
        <f>IF(C6&lt;&gt;"",IF(D10&lt;&gt;"",D10,D9)+IF(D14&lt;&gt;"",D14,D13)+IF(D18&lt;&gt;"",D18,D17)+IF(D20&lt;&gt;"",D20,D19)+IF(D24&lt;&gt;"",D24,D23)+D32,"")</f>
        <v>#N/A</v>
      </c>
      <c r="D34" s="157"/>
      <c r="E34" s="157"/>
      <c r="F34" s="156" t="e">
        <f>IF(F6&lt;&gt;"",IF(G10&lt;&gt;"",G10,G9)+IF(G14&lt;&gt;"",G14,G13)+IF(G18&lt;&gt;"",G18,G17)+IF(G20&lt;&gt;"",G20,G19)+IF(G24&lt;&gt;"",G24,G23)+G32,"")</f>
        <v>#REF!</v>
      </c>
      <c r="G34" s="157"/>
      <c r="H34" s="157"/>
      <c r="I34" s="156" t="e">
        <f>IF(I6&lt;&gt;"",IF(J10&lt;&gt;"",J10,J9)+IF(J14&lt;&gt;"",J14,J13)+IF(J18&lt;&gt;"",J18,J17)+IF(J20&lt;&gt;"",J20,J19)+IF(J24&lt;&gt;"",J24,J23)+J32,"")</f>
        <v>#N/A</v>
      </c>
      <c r="J34" s="157"/>
      <c r="K34" s="157"/>
      <c r="L34" s="156" t="e">
        <f>IF(L6&lt;&gt;"",IF(M10&lt;&gt;"",M10,M9)+IF(M14&lt;&gt;"",M14,M13)+IF(M18&lt;&gt;"",M18,M17)+IF(M20&lt;&gt;"",M20,M19)+IF(M24&lt;&gt;"",M24,M23)+M32,"")</f>
        <v>#N/A</v>
      </c>
      <c r="M34" s="157"/>
      <c r="N34" s="157"/>
      <c r="O34" s="158" t="str">
        <f>IF(O6&lt;&gt;"",IF(P10&lt;&gt;"",P10,P9)+IF(P14&lt;&gt;"",P14,P13)+IF(P18&lt;&gt;"",P18,P17)+IF(P20&lt;&gt;"",P20,P19)+IF(P24&lt;&gt;"",P24,P23)+P32,"")</f>
        <v/>
      </c>
      <c r="P34" s="159"/>
      <c r="Q34" s="160"/>
      <c r="R34" s="158" t="str">
        <f>IF(R6&lt;&gt;"",IF(S10&lt;&gt;"",S10,S9)+IF(S14&lt;&gt;"",S14,S13)+IF(S18&lt;&gt;"",S18,S17)+IF(S20&lt;&gt;"",S20,S19)+IF(S24&lt;&gt;"",S24,S23)+S32,"")</f>
        <v/>
      </c>
      <c r="S34" s="159"/>
      <c r="T34" s="160"/>
      <c r="U34" s="158" t="str">
        <f>IF(U6&lt;&gt;"",IF(V10&lt;&gt;"",V10,V9)+IF(V14&lt;&gt;"",V14,V13)+IF(V18&lt;&gt;"",V18,V17)+IF(V20&lt;&gt;"",V20,V19)+IF(V24&lt;&gt;"",V24,V23)+V32,"")</f>
        <v/>
      </c>
      <c r="V34" s="159"/>
      <c r="W34" s="160"/>
      <c r="X34" s="132"/>
      <c r="Y34" s="132"/>
    </row>
    <row r="35" spans="1:25" x14ac:dyDescent="0.3">
      <c r="A35" s="516" t="s">
        <v>107</v>
      </c>
      <c r="B35" s="517"/>
      <c r="C35" s="161" t="e">
        <f>SUM(E7:E32)</f>
        <v>#N/A</v>
      </c>
      <c r="D35" s="162"/>
      <c r="E35" s="163"/>
      <c r="F35" s="161" t="e">
        <f>SUM(H7:H32)</f>
        <v>#REF!</v>
      </c>
      <c r="G35" s="162"/>
      <c r="H35" s="162"/>
      <c r="I35" s="161" t="e">
        <f>SUM(K7:K32)</f>
        <v>#N/A</v>
      </c>
      <c r="J35" s="162"/>
      <c r="K35" s="162"/>
      <c r="L35" s="161" t="e">
        <f>SUM(N7:N32)</f>
        <v>#N/A</v>
      </c>
      <c r="M35" s="162"/>
      <c r="N35" s="162"/>
      <c r="O35" s="158">
        <f>SUM(Q7:Q32)</f>
        <v>0</v>
      </c>
      <c r="P35" s="159"/>
      <c r="Q35" s="160"/>
      <c r="R35" s="158">
        <f>SUM(T7:T32)</f>
        <v>0</v>
      </c>
      <c r="S35" s="159"/>
      <c r="T35" s="160"/>
      <c r="U35" s="158">
        <f>SUM(W7:W32)</f>
        <v>0</v>
      </c>
      <c r="V35" s="159"/>
      <c r="W35" s="160"/>
      <c r="X35" s="128"/>
      <c r="Y35" s="128"/>
    </row>
    <row r="36" spans="1:25" x14ac:dyDescent="0.3">
      <c r="A36" s="128"/>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row>
    <row r="37" spans="1:25" x14ac:dyDescent="0.3">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row>
    <row r="38" spans="1:25" x14ac:dyDescent="0.3">
      <c r="F38" s="164"/>
    </row>
  </sheetData>
  <sheetProtection algorithmName="SHA-512" hashValue="jmlRfEVvHtGA1CMpltxVG5Bg5jvRt8fc3g4gM4duVmiQoeCIBJ6tstWaK3Zi75WgXIEZvUWdgbkk8XlRQZBVPw==" saltValue="xehVxts4Jc5Xe0uL9EAcRg==" spinCount="100000" sheet="1" selectLockedCells="1"/>
  <mergeCells count="15">
    <mergeCell ref="L3:M3"/>
    <mergeCell ref="A8:B8"/>
    <mergeCell ref="A31:B31"/>
    <mergeCell ref="L4:M4"/>
    <mergeCell ref="H3:K3"/>
    <mergeCell ref="A16:B16"/>
    <mergeCell ref="A12:B12"/>
    <mergeCell ref="A5:B5"/>
    <mergeCell ref="A6:B6"/>
    <mergeCell ref="A34:B34"/>
    <mergeCell ref="A35:B35"/>
    <mergeCell ref="A27:B27"/>
    <mergeCell ref="A26:B26"/>
    <mergeCell ref="A22:B22"/>
    <mergeCell ref="A29:B29"/>
  </mergeCells>
  <conditionalFormatting sqref="F5:H8 F10:H12 G9:H9 F14:H16 G13:H13 F18:H18 G17:H17 F20:H27 H19 F33:H35 H32 F29:H31 G28:H28">
    <cfRule type="expression" dxfId="58" priority="17">
      <formula>$F$6=""</formula>
    </cfRule>
  </conditionalFormatting>
  <conditionalFormatting sqref="I5:K8 I20:K27 K19 I10:K18 J9:K9 I33:K35 K32 I29:K31 J28:K28">
    <cfRule type="expression" dxfId="57" priority="16">
      <formula>$I$6=""</formula>
    </cfRule>
  </conditionalFormatting>
  <conditionalFormatting sqref="L5:N8 L10:N18 M9:N9 L20:N27 L19 N19 L33:N35 N32 L29:N31 M28:N28">
    <cfRule type="expression" dxfId="56" priority="15">
      <formula>$L$6=""</formula>
    </cfRule>
  </conditionalFormatting>
  <conditionalFormatting sqref="O5:Q18 O20:Q31 O19 Q19 O33:Q35 P32:Q32">
    <cfRule type="expression" dxfId="55" priority="14">
      <formula>$O$6=""</formula>
    </cfRule>
  </conditionalFormatting>
  <conditionalFormatting sqref="R5:T18 R20:T31 R19 T19 R33:T35 S32:T32">
    <cfRule type="expression" dxfId="54" priority="13">
      <formula>$R$6=""</formula>
    </cfRule>
  </conditionalFormatting>
  <conditionalFormatting sqref="U5:W18 U20:W31 U19 W19 U33:W35 V32:W32">
    <cfRule type="expression" dxfId="53" priority="12">
      <formula>$U$6=""</formula>
    </cfRule>
  </conditionalFormatting>
  <conditionalFormatting sqref="I19">
    <cfRule type="expression" dxfId="52" priority="4">
      <formula>$F$6=""</formula>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containsText" priority="48" operator="containsText" id="{93A35ACA-837D-43C4-BF7B-5B12F181FCC2}">
            <xm:f>NOT(ISERROR(SEARCH(C$6,C5)))</xm:f>
            <xm:f>C$6</xm:f>
            <x14:dxf>
              <font>
                <color theme="2"/>
              </font>
            </x14:dxf>
          </x14:cfRule>
          <xm:sqref>C5</xm:sqref>
        </x14:conditionalFormatting>
        <x14:conditionalFormatting xmlns:xm="http://schemas.microsoft.com/office/excel/2006/main">
          <x14:cfRule type="containsText" priority="47" operator="containsText" id="{4DEFFAF1-7528-4D85-94C6-FFCC17D59B8B}">
            <xm:f>NOT(ISERROR(SEARCH(F$6,F5)))</xm:f>
            <xm:f>F$6</xm:f>
            <x14:dxf>
              <font>
                <color theme="2"/>
              </font>
            </x14:dxf>
          </x14:cfRule>
          <xm:sqref>F5</xm:sqref>
        </x14:conditionalFormatting>
        <x14:conditionalFormatting xmlns:xm="http://schemas.microsoft.com/office/excel/2006/main">
          <x14:cfRule type="containsText" priority="46" operator="containsText" id="{952A4E6C-1692-41A3-9187-8EB54387AB8C}">
            <xm:f>NOT(ISERROR(SEARCH(I$6,I5)))</xm:f>
            <xm:f>I$6</xm:f>
            <x14:dxf>
              <font>
                <color theme="2"/>
              </font>
            </x14:dxf>
          </x14:cfRule>
          <xm:sqref>I5</xm:sqref>
        </x14:conditionalFormatting>
        <x14:conditionalFormatting xmlns:xm="http://schemas.microsoft.com/office/excel/2006/main">
          <x14:cfRule type="containsText" priority="45" operator="containsText" id="{6297E589-6FAA-4E76-AC07-C08068FF089F}">
            <xm:f>NOT(ISERROR(SEARCH(L$6,L5)))</xm:f>
            <xm:f>L$6</xm:f>
            <x14:dxf>
              <font>
                <color theme="2"/>
              </font>
            </x14:dxf>
          </x14:cfRule>
          <xm:sqref>L5</xm:sqref>
        </x14:conditionalFormatting>
        <x14:conditionalFormatting xmlns:xm="http://schemas.microsoft.com/office/excel/2006/main">
          <x14:cfRule type="containsText" priority="44" operator="containsText" id="{199E4B8E-CBC3-4E90-AFB3-4EEAFD815D9B}">
            <xm:f>NOT(ISERROR(SEARCH(O$6,O5)))</xm:f>
            <xm:f>O$6</xm:f>
            <x14:dxf>
              <font>
                <color theme="2"/>
              </font>
            </x14:dxf>
          </x14:cfRule>
          <xm:sqref>O5</xm:sqref>
        </x14:conditionalFormatting>
        <x14:conditionalFormatting xmlns:xm="http://schemas.microsoft.com/office/excel/2006/main">
          <x14:cfRule type="containsText" priority="43" operator="containsText" id="{3A655140-0B3B-490A-AA46-E4A0D9EC2F91}">
            <xm:f>NOT(ISERROR(SEARCH(R$6,R5)))</xm:f>
            <xm:f>R$6</xm:f>
            <x14:dxf>
              <font>
                <color theme="2"/>
              </font>
            </x14:dxf>
          </x14:cfRule>
          <xm:sqref>R5</xm:sqref>
        </x14:conditionalFormatting>
        <x14:conditionalFormatting xmlns:xm="http://schemas.microsoft.com/office/excel/2006/main">
          <x14:cfRule type="containsText" priority="42" operator="containsText" id="{9FED92A3-78B7-4364-AD42-DD812CF20874}">
            <xm:f>NOT(ISERROR(SEARCH(U$6,U5)))</xm:f>
            <xm:f>U$6</xm:f>
            <x14:dxf>
              <font>
                <color theme="2"/>
              </font>
            </x14:dxf>
          </x14:cfRule>
          <xm:sqref>U5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tabColor theme="5"/>
  </sheetPr>
  <dimension ref="A1:Z161"/>
  <sheetViews>
    <sheetView showGridLines="0" topLeftCell="C1" zoomScale="90" zoomScaleNormal="90" workbookViewId="0">
      <selection activeCell="F10" sqref="F10:I10"/>
    </sheetView>
  </sheetViews>
  <sheetFormatPr baseColWidth="10" defaultColWidth="10.6640625" defaultRowHeight="16.8" outlineLevelCol="1" x14ac:dyDescent="0.3"/>
  <cols>
    <col min="1" max="1" width="2.109375" style="268" hidden="1" customWidth="1"/>
    <col min="2" max="2" width="3.6640625" style="269" hidden="1" customWidth="1"/>
    <col min="3" max="3" width="4.6640625" style="1" bestFit="1" customWidth="1"/>
    <col min="4" max="4" width="26.88671875" style="1" hidden="1" customWidth="1"/>
    <col min="5" max="5" width="43" style="1" bestFit="1" customWidth="1"/>
    <col min="6" max="6" width="22.6640625" style="1" customWidth="1"/>
    <col min="7" max="7" width="11.33203125" style="1" customWidth="1"/>
    <col min="8" max="11" width="12.109375" style="1" customWidth="1"/>
    <col min="12" max="12" width="11" style="1" bestFit="1" customWidth="1"/>
    <col min="13" max="14" width="10.6640625" style="1"/>
    <col min="15" max="15" width="9" style="1" bestFit="1" customWidth="1"/>
    <col min="16" max="16" width="109.44140625" style="267" customWidth="1" outlineLevel="1"/>
    <col min="17" max="17" width="16.5546875" style="1" bestFit="1" customWidth="1"/>
    <col min="18" max="19" width="10.6640625" style="3" customWidth="1"/>
    <col min="20" max="20" width="3.5546875" style="1" customWidth="1"/>
    <col min="21" max="16384" width="10.6640625" style="1"/>
  </cols>
  <sheetData>
    <row r="1" spans="1:23" ht="27" x14ac:dyDescent="0.3">
      <c r="A1" s="169" t="s">
        <v>50</v>
      </c>
      <c r="B1" s="169"/>
      <c r="C1" s="15" t="s">
        <v>355</v>
      </c>
      <c r="D1" s="170"/>
      <c r="E1" s="170"/>
      <c r="F1" s="170"/>
      <c r="G1" s="170"/>
      <c r="H1" s="170"/>
      <c r="I1" s="170"/>
      <c r="J1" s="170"/>
      <c r="K1" s="171"/>
      <c r="L1" s="172"/>
      <c r="M1" s="173"/>
      <c r="N1" s="173"/>
      <c r="O1" s="174"/>
      <c r="P1" s="175"/>
      <c r="Q1" s="128"/>
      <c r="R1" s="459" t="s">
        <v>448</v>
      </c>
      <c r="S1" s="137"/>
      <c r="T1" s="128"/>
      <c r="U1" s="128"/>
    </row>
    <row r="2" spans="1:23" ht="15.75" customHeight="1" x14ac:dyDescent="0.3">
      <c r="A2" s="176"/>
      <c r="B2" s="176"/>
      <c r="C2" s="408" t="s">
        <v>407</v>
      </c>
      <c r="D2" s="177"/>
      <c r="E2" s="177"/>
      <c r="F2" s="177"/>
      <c r="G2" s="177"/>
      <c r="H2" s="177"/>
      <c r="I2" s="177"/>
      <c r="J2" s="177"/>
      <c r="K2" s="178"/>
      <c r="L2" s="179"/>
      <c r="M2" s="179"/>
      <c r="N2" s="179"/>
      <c r="O2" s="180"/>
      <c r="P2" s="175"/>
      <c r="Q2" s="128"/>
      <c r="R2" s="137"/>
      <c r="S2" s="137"/>
      <c r="T2" s="128"/>
      <c r="U2" s="128"/>
    </row>
    <row r="3" spans="1:23" ht="27" x14ac:dyDescent="0.3">
      <c r="A3" s="176"/>
      <c r="B3" s="176"/>
      <c r="C3" s="176"/>
      <c r="D3" s="176"/>
      <c r="E3" s="176"/>
      <c r="F3" s="176"/>
      <c r="G3" s="176"/>
      <c r="H3" s="176"/>
      <c r="I3" s="569" t="s">
        <v>278</v>
      </c>
      <c r="J3" s="570"/>
      <c r="K3" s="178"/>
      <c r="L3" s="535"/>
      <c r="M3" s="535"/>
      <c r="N3" s="535"/>
      <c r="O3" s="181"/>
      <c r="P3" s="182" t="s">
        <v>236</v>
      </c>
      <c r="Q3" s="181"/>
      <c r="R3" s="571" t="s">
        <v>276</v>
      </c>
      <c r="S3" s="571"/>
      <c r="T3" s="128"/>
      <c r="U3" s="128"/>
    </row>
    <row r="4" spans="1:23" ht="15.75" customHeight="1" x14ac:dyDescent="0.3">
      <c r="A4" s="183"/>
      <c r="B4" s="138" t="s">
        <v>32</v>
      </c>
      <c r="C4" s="128"/>
      <c r="D4" s="128"/>
      <c r="E4" s="184"/>
      <c r="F4" s="184"/>
      <c r="G4" s="184"/>
      <c r="H4" s="184"/>
      <c r="I4" s="184"/>
      <c r="J4" s="184"/>
      <c r="K4" s="128"/>
      <c r="L4" s="128"/>
      <c r="M4" s="128"/>
      <c r="N4" s="128"/>
      <c r="O4" s="128"/>
      <c r="P4" s="185"/>
      <c r="Q4" s="186"/>
      <c r="R4" s="562">
        <f ca="1">INDIRECT(ADDRESS(ROW(BPI[[#Headers],[BPI]])+COUNTIF(BPI[BPI],"&gt;0"),COLUMN(BPI[[#Headers],[Jahr]])))</f>
        <v>2025</v>
      </c>
      <c r="S4" s="562"/>
      <c r="T4" s="186"/>
      <c r="U4" s="128"/>
    </row>
    <row r="5" spans="1:23" ht="60" customHeight="1" x14ac:dyDescent="0.3">
      <c r="A5" s="183" t="s">
        <v>80</v>
      </c>
      <c r="B5" s="138">
        <f>IF(A5="X",COUNTIF($A$1:A5,"X"),"")</f>
        <v>1</v>
      </c>
      <c r="C5" s="538" t="s">
        <v>51</v>
      </c>
      <c r="D5" s="128"/>
      <c r="E5" s="187" t="s">
        <v>0</v>
      </c>
      <c r="F5" s="542" t="s">
        <v>38</v>
      </c>
      <c r="G5" s="543"/>
      <c r="H5" s="543"/>
      <c r="I5" s="544"/>
      <c r="J5" s="188">
        <v>0</v>
      </c>
      <c r="K5" s="128"/>
      <c r="L5" s="128"/>
      <c r="M5" s="128"/>
      <c r="N5" s="128"/>
      <c r="O5" s="128"/>
      <c r="P5" s="189" t="s">
        <v>237</v>
      </c>
      <c r="Q5" s="186"/>
      <c r="R5" s="190" t="s">
        <v>157</v>
      </c>
      <c r="S5" s="191" t="s">
        <v>158</v>
      </c>
      <c r="T5" s="186"/>
      <c r="U5" s="128"/>
    </row>
    <row r="6" spans="1:23" ht="15" customHeight="1" x14ac:dyDescent="0.3">
      <c r="A6" s="183"/>
      <c r="B6" s="138" t="str">
        <f>IF(A6="X",COUNTIF($A$1:A6,"X"),"")</f>
        <v/>
      </c>
      <c r="C6" s="539"/>
      <c r="D6" s="128"/>
      <c r="E6" s="184"/>
      <c r="F6" s="184"/>
      <c r="G6" s="184"/>
      <c r="H6" s="184"/>
      <c r="I6" s="184"/>
      <c r="J6" s="184"/>
      <c r="K6" s="128"/>
      <c r="L6" s="128"/>
      <c r="M6" s="128"/>
      <c r="N6" s="128"/>
      <c r="O6" s="128"/>
      <c r="P6" s="185"/>
      <c r="Q6" s="186"/>
      <c r="R6" s="192">
        <v>2012</v>
      </c>
      <c r="S6" s="193">
        <v>76.599999999999994</v>
      </c>
      <c r="T6" s="186"/>
      <c r="U6" s="128"/>
    </row>
    <row r="7" spans="1:23" ht="45" customHeight="1" x14ac:dyDescent="0.3">
      <c r="A7" s="183" t="s">
        <v>80</v>
      </c>
      <c r="B7" s="138">
        <f>IF(A7="X",COUNTIF($A$1:A7,"X"),"")</f>
        <v>2</v>
      </c>
      <c r="C7" s="539"/>
      <c r="D7" s="194"/>
      <c r="E7" s="563" t="s">
        <v>34</v>
      </c>
      <c r="F7" s="542" t="s">
        <v>35</v>
      </c>
      <c r="G7" s="543"/>
      <c r="H7" s="543"/>
      <c r="I7" s="544"/>
      <c r="J7" s="188">
        <v>10</v>
      </c>
      <c r="K7" s="128"/>
      <c r="L7" s="128"/>
      <c r="M7" s="128"/>
      <c r="N7" s="128"/>
      <c r="O7" s="128"/>
      <c r="P7" s="195" t="s">
        <v>238</v>
      </c>
      <c r="Q7" s="186"/>
      <c r="R7" s="192">
        <v>2013</v>
      </c>
      <c r="S7" s="193">
        <v>78.400000000000006</v>
      </c>
      <c r="T7" s="186"/>
      <c r="U7" s="128"/>
      <c r="W7" s="196"/>
    </row>
    <row r="8" spans="1:23" ht="45" customHeight="1" x14ac:dyDescent="0.3">
      <c r="A8" s="183" t="s">
        <v>80</v>
      </c>
      <c r="B8" s="138">
        <f>IF(A8="X",COUNTIF($A$1:A8,"X"),"")</f>
        <v>3</v>
      </c>
      <c r="C8" s="539"/>
      <c r="D8" s="128"/>
      <c r="E8" s="564"/>
      <c r="F8" s="542" t="s">
        <v>36</v>
      </c>
      <c r="G8" s="543"/>
      <c r="H8" s="543"/>
      <c r="I8" s="544"/>
      <c r="J8" s="188">
        <v>25</v>
      </c>
      <c r="K8" s="128"/>
      <c r="L8" s="128"/>
      <c r="M8" s="128"/>
      <c r="N8" s="128"/>
      <c r="O8" s="128"/>
      <c r="P8" s="195" t="s">
        <v>239</v>
      </c>
      <c r="Q8" s="186"/>
      <c r="R8" s="192">
        <v>2014</v>
      </c>
      <c r="S8" s="193">
        <v>79.400000000000006</v>
      </c>
      <c r="T8" s="186"/>
      <c r="U8" s="128"/>
    </row>
    <row r="9" spans="1:23" ht="60" customHeight="1" x14ac:dyDescent="0.3">
      <c r="A9" s="183" t="s">
        <v>80</v>
      </c>
      <c r="B9" s="138">
        <f>IF(A9="X",COUNTIF($A$1:A9,"X"),"")</f>
        <v>4</v>
      </c>
      <c r="C9" s="539"/>
      <c r="D9" s="128"/>
      <c r="E9" s="564"/>
      <c r="F9" s="542" t="s">
        <v>37</v>
      </c>
      <c r="G9" s="543"/>
      <c r="H9" s="543"/>
      <c r="I9" s="544"/>
      <c r="J9" s="143">
        <v>0</v>
      </c>
      <c r="K9" s="128"/>
      <c r="L9" s="128"/>
      <c r="M9" s="128"/>
      <c r="N9" s="128"/>
      <c r="O9" s="128"/>
      <c r="P9" s="195" t="s">
        <v>268</v>
      </c>
      <c r="Q9" s="186"/>
      <c r="R9" s="192">
        <v>2015</v>
      </c>
      <c r="S9" s="193">
        <v>80.2</v>
      </c>
      <c r="T9" s="186"/>
      <c r="U9" s="128"/>
    </row>
    <row r="10" spans="1:23" ht="90" customHeight="1" x14ac:dyDescent="0.3">
      <c r="A10" s="183" t="s">
        <v>80</v>
      </c>
      <c r="B10" s="138">
        <f>IF(A10="X",COUNTIF($A$1:A10,"X"),"")</f>
        <v>5</v>
      </c>
      <c r="C10" s="539"/>
      <c r="D10" s="128"/>
      <c r="E10" s="564"/>
      <c r="F10" s="542" t="s">
        <v>40</v>
      </c>
      <c r="G10" s="543"/>
      <c r="H10" s="543"/>
      <c r="I10" s="544"/>
      <c r="J10" s="197">
        <v>5000</v>
      </c>
      <c r="K10" s="128"/>
      <c r="L10" s="128"/>
      <c r="M10" s="128"/>
      <c r="N10" s="128"/>
      <c r="O10" s="128"/>
      <c r="P10" s="195" t="s">
        <v>240</v>
      </c>
      <c r="Q10" s="186"/>
      <c r="R10" s="192">
        <v>2016</v>
      </c>
      <c r="S10" s="193">
        <v>80.900000000000006</v>
      </c>
      <c r="T10" s="186"/>
      <c r="U10" s="128"/>
    </row>
    <row r="11" spans="1:23" ht="60" customHeight="1" x14ac:dyDescent="0.3">
      <c r="A11" s="183" t="s">
        <v>80</v>
      </c>
      <c r="B11" s="138">
        <f>IF(A11="X",COUNTIF($A$1:A11,"X"),"")</f>
        <v>6</v>
      </c>
      <c r="C11" s="539"/>
      <c r="D11" s="128"/>
      <c r="E11" s="565"/>
      <c r="F11" s="542" t="s">
        <v>39</v>
      </c>
      <c r="G11" s="543"/>
      <c r="H11" s="543"/>
      <c r="I11" s="544"/>
      <c r="J11" s="197">
        <v>3000</v>
      </c>
      <c r="K11" s="128"/>
      <c r="L11" s="128"/>
      <c r="M11" s="128"/>
      <c r="N11" s="128"/>
      <c r="O11" s="128"/>
      <c r="P11" s="195" t="s">
        <v>241</v>
      </c>
      <c r="Q11" s="186"/>
      <c r="R11" s="192">
        <v>2017</v>
      </c>
      <c r="S11" s="193">
        <v>83.9</v>
      </c>
      <c r="T11" s="186"/>
      <c r="U11" s="128"/>
    </row>
    <row r="12" spans="1:23" x14ac:dyDescent="0.3">
      <c r="A12" s="183"/>
      <c r="B12" s="138" t="str">
        <f>IF(A12="X",COUNTIF($A$1:A12,"X"),"")</f>
        <v/>
      </c>
      <c r="C12" s="198"/>
      <c r="D12" s="128"/>
      <c r="E12" s="128"/>
      <c r="F12" s="128"/>
      <c r="G12" s="128"/>
      <c r="H12" s="128"/>
      <c r="I12" s="128"/>
      <c r="J12" s="128"/>
      <c r="K12" s="128"/>
      <c r="L12" s="128"/>
      <c r="M12" s="128"/>
      <c r="N12" s="128"/>
      <c r="O12" s="128"/>
      <c r="P12" s="185"/>
      <c r="Q12" s="186"/>
      <c r="R12" s="192">
        <v>2018</v>
      </c>
      <c r="S12" s="193">
        <v>89</v>
      </c>
      <c r="T12" s="186"/>
      <c r="U12" s="128"/>
    </row>
    <row r="13" spans="1:23" ht="31.5" customHeight="1" x14ac:dyDescent="0.3">
      <c r="A13" s="183"/>
      <c r="B13" s="138" t="str">
        <f>IF(A13="X",COUNTIF($A$1:A13,"X"),"")</f>
        <v/>
      </c>
      <c r="C13" s="538" t="s">
        <v>53</v>
      </c>
      <c r="D13" s="194"/>
      <c r="E13" s="552" t="s">
        <v>52</v>
      </c>
      <c r="F13" s="199" t="s">
        <v>46</v>
      </c>
      <c r="G13" s="199" t="s">
        <v>43</v>
      </c>
      <c r="H13" s="199" t="s">
        <v>44</v>
      </c>
      <c r="I13" s="199" t="s">
        <v>45</v>
      </c>
      <c r="J13" s="200" t="s">
        <v>46</v>
      </c>
      <c r="K13" s="200" t="s">
        <v>43</v>
      </c>
      <c r="L13" s="200" t="s">
        <v>45</v>
      </c>
      <c r="M13" s="128"/>
      <c r="N13" s="128"/>
      <c r="O13" s="128"/>
      <c r="P13" s="185"/>
      <c r="Q13" s="186"/>
      <c r="R13" s="192">
        <v>2019</v>
      </c>
      <c r="S13" s="193">
        <v>94.5</v>
      </c>
      <c r="T13" s="186"/>
      <c r="U13" s="128"/>
    </row>
    <row r="14" spans="1:23" ht="60" customHeight="1" x14ac:dyDescent="0.3">
      <c r="A14" s="183" t="s">
        <v>80</v>
      </c>
      <c r="B14" s="138">
        <f>IF(A14="X",COUNTIF($A$1:A14,"X"),"")</f>
        <v>7</v>
      </c>
      <c r="C14" s="539"/>
      <c r="D14" s="128"/>
      <c r="E14" s="553"/>
      <c r="F14" s="201">
        <v>0</v>
      </c>
      <c r="G14" s="201">
        <v>3</v>
      </c>
      <c r="H14" s="201">
        <v>6</v>
      </c>
      <c r="I14" s="201">
        <v>10</v>
      </c>
      <c r="J14" s="200">
        <f>F14</f>
        <v>0</v>
      </c>
      <c r="K14" s="200">
        <f>G14</f>
        <v>3</v>
      </c>
      <c r="L14" s="200">
        <f>I14</f>
        <v>10</v>
      </c>
      <c r="M14" s="128"/>
      <c r="N14" s="128"/>
      <c r="O14" s="128"/>
      <c r="P14" s="195" t="s">
        <v>242</v>
      </c>
      <c r="Q14" s="186"/>
      <c r="R14" s="192">
        <v>2020</v>
      </c>
      <c r="S14" s="193">
        <v>95.3</v>
      </c>
      <c r="T14" s="186"/>
      <c r="U14" s="128"/>
    </row>
    <row r="15" spans="1:23" ht="15" customHeight="1" x14ac:dyDescent="0.3">
      <c r="A15" s="183"/>
      <c r="B15" s="138" t="str">
        <f>IF(A15="X",COUNTIF($A$1:A15,"X"),"")</f>
        <v/>
      </c>
      <c r="C15" s="539"/>
      <c r="D15" s="128"/>
      <c r="E15" s="128"/>
      <c r="F15" s="128"/>
      <c r="G15" s="128"/>
      <c r="H15" s="128"/>
      <c r="I15" s="128"/>
      <c r="J15" s="128"/>
      <c r="K15" s="202">
        <v>0</v>
      </c>
      <c r="L15" s="128"/>
      <c r="M15" s="128"/>
      <c r="N15" s="128"/>
      <c r="O15" s="128"/>
      <c r="P15" s="185"/>
      <c r="Q15" s="186"/>
      <c r="R15" s="192">
        <v>2021</v>
      </c>
      <c r="S15" s="193">
        <v>100</v>
      </c>
      <c r="T15" s="186"/>
      <c r="U15" s="128"/>
    </row>
    <row r="16" spans="1:23" ht="45" customHeight="1" x14ac:dyDescent="0.3">
      <c r="A16" s="183"/>
      <c r="B16" s="138"/>
      <c r="C16" s="539"/>
      <c r="D16" s="128"/>
      <c r="E16" s="566" t="s">
        <v>279</v>
      </c>
      <c r="F16" s="541" t="s">
        <v>202</v>
      </c>
      <c r="G16" s="541"/>
      <c r="H16" s="541"/>
      <c r="I16" s="541"/>
      <c r="J16" s="188">
        <v>1.5</v>
      </c>
      <c r="K16" s="202" t="str">
        <f>"≤"&amp;J16</f>
        <v>≤1,5</v>
      </c>
      <c r="L16" s="202">
        <v>0</v>
      </c>
      <c r="M16" s="128"/>
      <c r="N16" s="128"/>
      <c r="O16" s="128"/>
      <c r="P16" s="532" t="s">
        <v>265</v>
      </c>
      <c r="Q16" s="186"/>
      <c r="R16" s="192">
        <v>2022</v>
      </c>
      <c r="S16" s="203">
        <v>116.1</v>
      </c>
      <c r="T16" s="186"/>
      <c r="U16" s="128"/>
    </row>
    <row r="17" spans="1:21" ht="45" customHeight="1" x14ac:dyDescent="0.3">
      <c r="A17" s="183"/>
      <c r="B17" s="138"/>
      <c r="C17" s="539"/>
      <c r="D17" s="128"/>
      <c r="E17" s="567"/>
      <c r="F17" s="542" t="s">
        <v>203</v>
      </c>
      <c r="G17" s="543"/>
      <c r="H17" s="543"/>
      <c r="I17" s="544"/>
      <c r="J17" s="188">
        <v>2</v>
      </c>
      <c r="K17" s="202" t="str">
        <f>"≤"&amp;J17</f>
        <v>≤2</v>
      </c>
      <c r="L17" s="202" t="str">
        <f>"≤"&amp;J18</f>
        <v>≤10</v>
      </c>
      <c r="M17" s="128"/>
      <c r="N17" s="128"/>
      <c r="O17" s="128"/>
      <c r="P17" s="534"/>
      <c r="Q17" s="186"/>
      <c r="R17" s="192">
        <v>2023</v>
      </c>
      <c r="S17" s="203">
        <v>128</v>
      </c>
      <c r="T17" s="186"/>
      <c r="U17" s="128"/>
    </row>
    <row r="18" spans="1:21" ht="60" customHeight="1" x14ac:dyDescent="0.3">
      <c r="A18" s="183"/>
      <c r="B18" s="138"/>
      <c r="C18" s="539"/>
      <c r="D18" s="128"/>
      <c r="E18" s="567"/>
      <c r="F18" s="541" t="s">
        <v>204</v>
      </c>
      <c r="G18" s="541"/>
      <c r="H18" s="541"/>
      <c r="I18" s="541"/>
      <c r="J18" s="188">
        <v>10</v>
      </c>
      <c r="K18" s="202" t="str">
        <f>"&gt;"&amp;J17</f>
        <v>&gt;2</v>
      </c>
      <c r="L18" s="202" t="str">
        <f>"&gt;"&amp;J18</f>
        <v>&gt;10</v>
      </c>
      <c r="M18" s="128"/>
      <c r="N18" s="128"/>
      <c r="O18" s="128"/>
      <c r="P18" s="195" t="s">
        <v>266</v>
      </c>
      <c r="Q18" s="186"/>
      <c r="R18" s="192">
        <v>2024</v>
      </c>
      <c r="S18" s="203">
        <v>134.1</v>
      </c>
      <c r="T18" s="186"/>
      <c r="U18" s="128"/>
    </row>
    <row r="19" spans="1:21" ht="15" customHeight="1" x14ac:dyDescent="0.3">
      <c r="A19" s="183"/>
      <c r="B19" s="138"/>
      <c r="C19" s="539"/>
      <c r="D19" s="128"/>
      <c r="E19" s="128"/>
      <c r="F19" s="128"/>
      <c r="G19" s="128"/>
      <c r="H19" s="128"/>
      <c r="I19" s="128"/>
      <c r="J19" s="128"/>
      <c r="K19" s="128"/>
      <c r="L19" s="128"/>
      <c r="M19" s="128"/>
      <c r="N19" s="128"/>
      <c r="O19" s="128"/>
      <c r="P19" s="185"/>
      <c r="Q19" s="186"/>
      <c r="R19" s="192">
        <v>2025</v>
      </c>
      <c r="S19" s="203">
        <v>135.9</v>
      </c>
      <c r="T19" s="186"/>
      <c r="U19" s="128"/>
    </row>
    <row r="20" spans="1:21" ht="15" customHeight="1" x14ac:dyDescent="0.3">
      <c r="A20" s="183"/>
      <c r="B20" s="138"/>
      <c r="C20" s="539"/>
      <c r="D20" s="128"/>
      <c r="E20" s="552" t="s">
        <v>210</v>
      </c>
      <c r="F20" s="204" t="s">
        <v>211</v>
      </c>
      <c r="G20" s="205"/>
      <c r="H20" s="205"/>
      <c r="I20" s="206"/>
      <c r="J20" s="207">
        <v>0</v>
      </c>
      <c r="K20" s="128"/>
      <c r="L20" s="128"/>
      <c r="M20" s="128"/>
      <c r="N20" s="128"/>
      <c r="O20" s="128"/>
      <c r="P20" s="532" t="s">
        <v>243</v>
      </c>
      <c r="Q20" s="186"/>
      <c r="R20" s="137"/>
      <c r="S20" s="137"/>
      <c r="T20" s="186"/>
      <c r="U20" s="128"/>
    </row>
    <row r="21" spans="1:21" ht="15" customHeight="1" x14ac:dyDescent="0.3">
      <c r="A21" s="183"/>
      <c r="B21" s="138"/>
      <c r="C21" s="539"/>
      <c r="D21" s="128"/>
      <c r="E21" s="553"/>
      <c r="F21" s="204" t="s">
        <v>213</v>
      </c>
      <c r="G21" s="205"/>
      <c r="H21" s="205"/>
      <c r="I21" s="206"/>
      <c r="J21" s="207">
        <v>0.5</v>
      </c>
      <c r="K21" s="128"/>
      <c r="L21" s="128"/>
      <c r="M21" s="128"/>
      <c r="N21" s="128"/>
      <c r="O21" s="128"/>
      <c r="P21" s="533"/>
      <c r="Q21" s="186"/>
      <c r="R21" s="137"/>
      <c r="S21" s="137"/>
      <c r="T21" s="186"/>
      <c r="U21" s="128"/>
    </row>
    <row r="22" spans="1:21" ht="15" customHeight="1" x14ac:dyDescent="0.3">
      <c r="A22" s="183"/>
      <c r="B22" s="138"/>
      <c r="C22" s="539"/>
      <c r="D22" s="128"/>
      <c r="E22" s="553"/>
      <c r="F22" s="204" t="s">
        <v>212</v>
      </c>
      <c r="G22" s="205"/>
      <c r="H22" s="205"/>
      <c r="I22" s="206"/>
      <c r="J22" s="207">
        <v>0.5</v>
      </c>
      <c r="K22" s="128"/>
      <c r="L22" s="128"/>
      <c r="M22" s="128"/>
      <c r="N22" s="128"/>
      <c r="O22" s="128"/>
      <c r="P22" s="533"/>
      <c r="Q22" s="186"/>
      <c r="R22" s="137"/>
      <c r="S22" s="137"/>
      <c r="T22" s="186"/>
      <c r="U22" s="128"/>
    </row>
    <row r="23" spans="1:21" ht="15" customHeight="1" x14ac:dyDescent="0.3">
      <c r="A23" s="183"/>
      <c r="B23" s="138"/>
      <c r="C23" s="539"/>
      <c r="D23" s="128"/>
      <c r="E23" s="553"/>
      <c r="F23" s="204" t="s">
        <v>214</v>
      </c>
      <c r="G23" s="205"/>
      <c r="H23" s="205"/>
      <c r="I23" s="206"/>
      <c r="J23" s="207">
        <v>1</v>
      </c>
      <c r="K23" s="128"/>
      <c r="L23" s="128"/>
      <c r="M23" s="128"/>
      <c r="N23" s="128"/>
      <c r="O23" s="128"/>
      <c r="P23" s="533"/>
      <c r="Q23" s="186"/>
      <c r="R23" s="137"/>
      <c r="S23" s="137"/>
      <c r="T23" s="186"/>
      <c r="U23" s="128"/>
    </row>
    <row r="24" spans="1:21" ht="15" customHeight="1" x14ac:dyDescent="0.3">
      <c r="A24" s="183"/>
      <c r="B24" s="138"/>
      <c r="C24" s="539"/>
      <c r="D24" s="128"/>
      <c r="E24" s="553"/>
      <c r="F24" s="204" t="s">
        <v>215</v>
      </c>
      <c r="G24" s="205"/>
      <c r="H24" s="205"/>
      <c r="I24" s="206"/>
      <c r="J24" s="207">
        <v>3.5</v>
      </c>
      <c r="K24" s="128"/>
      <c r="L24" s="128"/>
      <c r="M24" s="128"/>
      <c r="N24" s="128"/>
      <c r="O24" s="128"/>
      <c r="P24" s="533"/>
      <c r="Q24" s="186"/>
      <c r="R24" s="137"/>
      <c r="S24" s="137"/>
      <c r="T24" s="186"/>
      <c r="U24" s="128"/>
    </row>
    <row r="25" spans="1:21" ht="15" customHeight="1" x14ac:dyDescent="0.3">
      <c r="A25" s="183"/>
      <c r="B25" s="138"/>
      <c r="C25" s="539"/>
      <c r="D25" s="128"/>
      <c r="E25" s="553"/>
      <c r="F25" s="204" t="s">
        <v>216</v>
      </c>
      <c r="G25" s="205"/>
      <c r="H25" s="205"/>
      <c r="I25" s="206"/>
      <c r="J25" s="207">
        <v>6</v>
      </c>
      <c r="K25" s="128"/>
      <c r="L25" s="128"/>
      <c r="M25" s="128"/>
      <c r="N25" s="128"/>
      <c r="O25" s="128"/>
      <c r="P25" s="533"/>
      <c r="Q25" s="186"/>
      <c r="R25" s="137"/>
      <c r="S25" s="137"/>
      <c r="T25" s="186"/>
      <c r="U25" s="128"/>
    </row>
    <row r="26" spans="1:21" ht="15" customHeight="1" x14ac:dyDescent="0.3">
      <c r="A26" s="183"/>
      <c r="B26" s="138"/>
      <c r="C26" s="539"/>
      <c r="D26" s="128"/>
      <c r="E26" s="553"/>
      <c r="F26" s="204" t="s">
        <v>217</v>
      </c>
      <c r="G26" s="205"/>
      <c r="H26" s="205"/>
      <c r="I26" s="206"/>
      <c r="J26" s="207">
        <v>9</v>
      </c>
      <c r="K26" s="128"/>
      <c r="L26" s="128"/>
      <c r="M26" s="128"/>
      <c r="N26" s="128"/>
      <c r="O26" s="128"/>
      <c r="P26" s="533"/>
      <c r="Q26" s="186"/>
      <c r="R26" s="137"/>
      <c r="S26" s="137"/>
      <c r="T26" s="186"/>
      <c r="U26" s="128"/>
    </row>
    <row r="27" spans="1:21" ht="15" customHeight="1" x14ac:dyDescent="0.3">
      <c r="A27" s="183"/>
      <c r="B27" s="138"/>
      <c r="C27" s="539"/>
      <c r="D27" s="128"/>
      <c r="E27" s="553"/>
      <c r="F27" s="204" t="s">
        <v>218</v>
      </c>
      <c r="G27" s="205"/>
      <c r="H27" s="205"/>
      <c r="I27" s="206"/>
      <c r="J27" s="207">
        <v>10</v>
      </c>
      <c r="K27" s="128"/>
      <c r="L27" s="128"/>
      <c r="M27" s="128"/>
      <c r="N27" s="128"/>
      <c r="O27" s="128"/>
      <c r="P27" s="534"/>
      <c r="Q27" s="186"/>
      <c r="R27" s="137"/>
      <c r="S27" s="137"/>
      <c r="T27" s="186"/>
      <c r="U27" s="128"/>
    </row>
    <row r="28" spans="1:21" ht="15" customHeight="1" x14ac:dyDescent="0.3">
      <c r="A28" s="183"/>
      <c r="B28" s="138"/>
      <c r="C28" s="539"/>
      <c r="D28" s="128"/>
      <c r="E28" s="128"/>
      <c r="F28" s="128"/>
      <c r="G28" s="128"/>
      <c r="H28" s="128"/>
      <c r="I28" s="128"/>
      <c r="J28" s="128"/>
      <c r="K28" s="128"/>
      <c r="L28" s="128"/>
      <c r="M28" s="128"/>
      <c r="N28" s="128"/>
      <c r="O28" s="128"/>
      <c r="P28" s="185"/>
      <c r="Q28" s="186"/>
      <c r="R28" s="137"/>
      <c r="S28" s="137"/>
      <c r="T28" s="186"/>
      <c r="U28" s="128"/>
    </row>
    <row r="29" spans="1:21" ht="15.75" customHeight="1" x14ac:dyDescent="0.3">
      <c r="A29" s="183"/>
      <c r="B29" s="138" t="str">
        <f>IF(A29="X",COUNTIF($A$1:A29,"X"),"")</f>
        <v/>
      </c>
      <c r="C29" s="539"/>
      <c r="D29" s="128"/>
      <c r="E29" s="553" t="s">
        <v>81</v>
      </c>
      <c r="F29" s="560" t="s">
        <v>82</v>
      </c>
      <c r="G29" s="560"/>
      <c r="H29" s="560"/>
      <c r="I29" s="560"/>
      <c r="J29" s="199" t="str">
        <f>SUM(J30:J31)&amp;" ("&amp;ROUND(SUM(J30:J31)/SUMIF($A$29:$A$53,"X",$J$29:$J$53)*100,0)&amp;"%)"</f>
        <v>20 (16%)</v>
      </c>
      <c r="K29" s="128"/>
      <c r="L29" s="128"/>
      <c r="M29" s="128"/>
      <c r="N29" s="128"/>
      <c r="O29" s="128"/>
      <c r="P29" s="532" t="s">
        <v>267</v>
      </c>
      <c r="Q29" s="186"/>
      <c r="R29" s="137"/>
      <c r="S29" s="137"/>
      <c r="T29" s="186"/>
      <c r="U29" s="128"/>
    </row>
    <row r="30" spans="1:21" ht="31.5" customHeight="1" x14ac:dyDescent="0.3">
      <c r="A30" s="183" t="s">
        <v>80</v>
      </c>
      <c r="B30" s="138">
        <f>IF(A30="X",COUNTIF($A$1:A30,"X"),"")</f>
        <v>8</v>
      </c>
      <c r="C30" s="539"/>
      <c r="D30" s="128"/>
      <c r="E30" s="553"/>
      <c r="F30" s="541" t="s">
        <v>15</v>
      </c>
      <c r="G30" s="541"/>
      <c r="H30" s="541"/>
      <c r="I30" s="541"/>
      <c r="J30" s="188">
        <v>5</v>
      </c>
      <c r="K30" s="128"/>
      <c r="L30" s="128"/>
      <c r="M30" s="128"/>
      <c r="N30" s="128"/>
      <c r="O30" s="128"/>
      <c r="P30" s="533"/>
      <c r="Q30" s="186"/>
      <c r="R30" s="137"/>
      <c r="S30" s="137"/>
      <c r="T30" s="186"/>
      <c r="U30" s="128"/>
    </row>
    <row r="31" spans="1:21" ht="31.5" customHeight="1" x14ac:dyDescent="0.3">
      <c r="A31" s="183" t="s">
        <v>80</v>
      </c>
      <c r="B31" s="138">
        <f>IF(A31="X",COUNTIF($A$1:A31,"X"),"")</f>
        <v>9</v>
      </c>
      <c r="C31" s="539"/>
      <c r="D31" s="128"/>
      <c r="E31" s="553"/>
      <c r="F31" s="541" t="s">
        <v>16</v>
      </c>
      <c r="G31" s="541"/>
      <c r="H31" s="541"/>
      <c r="I31" s="541"/>
      <c r="J31" s="188">
        <v>15</v>
      </c>
      <c r="K31" s="128"/>
      <c r="L31" s="128"/>
      <c r="M31" s="128"/>
      <c r="N31" s="128"/>
      <c r="O31" s="128"/>
      <c r="P31" s="533"/>
      <c r="Q31" s="186"/>
      <c r="R31" s="137"/>
      <c r="S31" s="137"/>
      <c r="T31" s="186"/>
      <c r="U31" s="128"/>
    </row>
    <row r="32" spans="1:21" ht="15" customHeight="1" x14ac:dyDescent="0.3">
      <c r="A32" s="183"/>
      <c r="B32" s="138" t="str">
        <f>IF(A32="X",COUNTIF($A$1:A32,"X"),"")</f>
        <v/>
      </c>
      <c r="C32" s="539"/>
      <c r="D32" s="128"/>
      <c r="E32" s="553"/>
      <c r="F32" s="137"/>
      <c r="G32" s="137"/>
      <c r="H32" s="137"/>
      <c r="I32" s="137"/>
      <c r="J32" s="128"/>
      <c r="K32" s="128"/>
      <c r="L32" s="128"/>
      <c r="M32" s="128"/>
      <c r="N32" s="128"/>
      <c r="O32" s="128"/>
      <c r="P32" s="533"/>
      <c r="Q32" s="186"/>
      <c r="R32" s="137"/>
      <c r="S32" s="137"/>
      <c r="T32" s="186"/>
      <c r="U32" s="128"/>
    </row>
    <row r="33" spans="1:21" ht="31.5" customHeight="1" x14ac:dyDescent="0.3">
      <c r="A33" s="183"/>
      <c r="B33" s="138" t="str">
        <f>IF(A33="X",COUNTIF($A$1:A33,"X"),"")</f>
        <v/>
      </c>
      <c r="C33" s="539"/>
      <c r="D33" s="128"/>
      <c r="E33" s="553"/>
      <c r="F33" s="560" t="s">
        <v>29</v>
      </c>
      <c r="G33" s="560"/>
      <c r="H33" s="560"/>
      <c r="I33" s="560"/>
      <c r="J33" s="199" t="str">
        <f>SUM(J34:J36)&amp;" ("&amp;ROUND(SUM(J34:J36)/SUMIF($A$29:$A$53,"X",$J$29:$J$53)*100,0)&amp;"%)"</f>
        <v>30 (24%)</v>
      </c>
      <c r="K33" s="128"/>
      <c r="L33" s="128"/>
      <c r="M33" s="128"/>
      <c r="N33" s="128"/>
      <c r="O33" s="128"/>
      <c r="P33" s="533"/>
      <c r="Q33" s="186"/>
      <c r="R33" s="137"/>
      <c r="S33" s="137"/>
      <c r="T33" s="186"/>
      <c r="U33" s="128"/>
    </row>
    <row r="34" spans="1:21" ht="31.5" customHeight="1" x14ac:dyDescent="0.3">
      <c r="A34" s="183" t="s">
        <v>80</v>
      </c>
      <c r="B34" s="138">
        <f>IF(A34="X",COUNTIF($A$1:A34,"X"),"")</f>
        <v>10</v>
      </c>
      <c r="C34" s="539"/>
      <c r="D34" s="128"/>
      <c r="E34" s="553"/>
      <c r="F34" s="541" t="s">
        <v>17</v>
      </c>
      <c r="G34" s="541"/>
      <c r="H34" s="541"/>
      <c r="I34" s="541"/>
      <c r="J34" s="188">
        <v>10</v>
      </c>
      <c r="K34" s="128"/>
      <c r="L34" s="128"/>
      <c r="M34" s="128"/>
      <c r="N34" s="128"/>
      <c r="O34" s="128"/>
      <c r="P34" s="533"/>
      <c r="Q34" s="186"/>
      <c r="R34" s="137"/>
      <c r="S34" s="137"/>
      <c r="T34" s="186"/>
      <c r="U34" s="128"/>
    </row>
    <row r="35" spans="1:21" ht="31.5" customHeight="1" x14ac:dyDescent="0.3">
      <c r="A35" s="183" t="s">
        <v>80</v>
      </c>
      <c r="B35" s="138">
        <f>IF(A35="X",COUNTIF($A$1:A35,"X"),"")</f>
        <v>11</v>
      </c>
      <c r="C35" s="539"/>
      <c r="D35" s="128"/>
      <c r="E35" s="553"/>
      <c r="F35" s="542" t="s">
        <v>18</v>
      </c>
      <c r="G35" s="543"/>
      <c r="H35" s="543"/>
      <c r="I35" s="544"/>
      <c r="J35" s="188">
        <v>10</v>
      </c>
      <c r="K35" s="128"/>
      <c r="L35" s="128"/>
      <c r="M35" s="128"/>
      <c r="N35" s="128"/>
      <c r="O35" s="128"/>
      <c r="P35" s="533"/>
      <c r="Q35" s="186"/>
      <c r="R35" s="137"/>
      <c r="S35" s="137"/>
      <c r="T35" s="186"/>
      <c r="U35" s="128"/>
    </row>
    <row r="36" spans="1:21" ht="45" customHeight="1" x14ac:dyDescent="0.3">
      <c r="A36" s="183" t="s">
        <v>80</v>
      </c>
      <c r="B36" s="138">
        <f>IF(A36="X",COUNTIF($A$1:A36,"X"),"")</f>
        <v>12</v>
      </c>
      <c r="C36" s="539"/>
      <c r="D36" s="128"/>
      <c r="E36" s="553"/>
      <c r="F36" s="541" t="s">
        <v>19</v>
      </c>
      <c r="G36" s="541"/>
      <c r="H36" s="541"/>
      <c r="I36" s="541"/>
      <c r="J36" s="188">
        <v>10</v>
      </c>
      <c r="K36" s="128"/>
      <c r="L36" s="128"/>
      <c r="M36" s="128"/>
      <c r="N36" s="128"/>
      <c r="O36" s="128"/>
      <c r="P36" s="533"/>
      <c r="Q36" s="186"/>
      <c r="R36" s="137"/>
      <c r="S36" s="137"/>
      <c r="T36" s="186"/>
      <c r="U36" s="128"/>
    </row>
    <row r="37" spans="1:21" ht="15" customHeight="1" x14ac:dyDescent="0.3">
      <c r="A37" s="183"/>
      <c r="B37" s="138" t="str">
        <f>IF(A37="X",COUNTIF($A$1:A37,"X"),"")</f>
        <v/>
      </c>
      <c r="C37" s="539"/>
      <c r="D37" s="128"/>
      <c r="E37" s="553"/>
      <c r="F37" s="137"/>
      <c r="G37" s="137"/>
      <c r="H37" s="137"/>
      <c r="I37" s="137"/>
      <c r="J37" s="128"/>
      <c r="K37" s="128"/>
      <c r="L37" s="128"/>
      <c r="M37" s="128"/>
      <c r="N37" s="128"/>
      <c r="O37" s="128"/>
      <c r="P37" s="533"/>
      <c r="Q37" s="186"/>
      <c r="R37" s="137"/>
      <c r="S37" s="137"/>
      <c r="T37" s="186"/>
      <c r="U37" s="128"/>
    </row>
    <row r="38" spans="1:21" ht="31.5" customHeight="1" x14ac:dyDescent="0.3">
      <c r="A38" s="183"/>
      <c r="B38" s="138" t="str">
        <f>IF(A38="X",COUNTIF($A$1:A38,"X"),"")</f>
        <v/>
      </c>
      <c r="C38" s="539"/>
      <c r="D38" s="128"/>
      <c r="E38" s="553"/>
      <c r="F38" s="560" t="s">
        <v>83</v>
      </c>
      <c r="G38" s="560"/>
      <c r="H38" s="560"/>
      <c r="I38" s="560"/>
      <c r="J38" s="199" t="str">
        <f>SUM(J39:J39)&amp;" ("&amp;ROUND(SUM(J39:J39)/SUMIF($A$29:$A$53,"X",$J$29:$J$53)*100,0)&amp;"%)"</f>
        <v>5 (4%)</v>
      </c>
      <c r="K38" s="128"/>
      <c r="L38" s="128"/>
      <c r="M38" s="128"/>
      <c r="N38" s="128"/>
      <c r="O38" s="128"/>
      <c r="P38" s="533"/>
      <c r="Q38" s="186"/>
      <c r="R38" s="137"/>
      <c r="S38" s="137"/>
      <c r="T38" s="186"/>
      <c r="U38" s="128"/>
    </row>
    <row r="39" spans="1:21" ht="31.5" customHeight="1" x14ac:dyDescent="0.3">
      <c r="A39" s="183" t="s">
        <v>80</v>
      </c>
      <c r="B39" s="138">
        <f>IF(A39="X",COUNTIF($A$1:A39,"X"),"")</f>
        <v>13</v>
      </c>
      <c r="C39" s="539"/>
      <c r="D39" s="128"/>
      <c r="E39" s="553"/>
      <c r="F39" s="541" t="s">
        <v>27</v>
      </c>
      <c r="G39" s="541"/>
      <c r="H39" s="541"/>
      <c r="I39" s="541"/>
      <c r="J39" s="188">
        <v>5</v>
      </c>
      <c r="K39" s="128"/>
      <c r="L39" s="128"/>
      <c r="M39" s="128"/>
      <c r="N39" s="128"/>
      <c r="O39" s="128"/>
      <c r="P39" s="533"/>
      <c r="Q39" s="186"/>
      <c r="R39" s="137"/>
      <c r="S39" s="137"/>
      <c r="T39" s="186"/>
      <c r="U39" s="128"/>
    </row>
    <row r="40" spans="1:21" ht="15" customHeight="1" x14ac:dyDescent="0.3">
      <c r="A40" s="183"/>
      <c r="B40" s="138" t="str">
        <f>IF(A40="X",COUNTIF($A$1:A40,"X"),"")</f>
        <v/>
      </c>
      <c r="C40" s="539"/>
      <c r="D40" s="128"/>
      <c r="E40" s="553"/>
      <c r="F40" s="137"/>
      <c r="G40" s="137"/>
      <c r="H40" s="137"/>
      <c r="I40" s="137"/>
      <c r="J40" s="128"/>
      <c r="K40" s="128"/>
      <c r="L40" s="128"/>
      <c r="M40" s="128"/>
      <c r="N40" s="128"/>
      <c r="O40" s="128"/>
      <c r="P40" s="533"/>
      <c r="Q40" s="186"/>
      <c r="R40" s="137"/>
      <c r="S40" s="137"/>
      <c r="T40" s="186"/>
      <c r="U40" s="128"/>
    </row>
    <row r="41" spans="1:21" ht="31.5" customHeight="1" x14ac:dyDescent="0.3">
      <c r="A41" s="183"/>
      <c r="B41" s="138" t="str">
        <f>IF(A41="X",COUNTIF($A$1:A41,"X"),"")</f>
        <v/>
      </c>
      <c r="C41" s="539"/>
      <c r="D41" s="128"/>
      <c r="E41" s="553"/>
      <c r="F41" s="560" t="s">
        <v>84</v>
      </c>
      <c r="G41" s="560"/>
      <c r="H41" s="560"/>
      <c r="I41" s="560"/>
      <c r="J41" s="199" t="str">
        <f>SUM(J42:J44)&amp;" ("&amp;ROUND(SUM(J42:J44)/SUMIF($A$29:$A$53,"X",$J$29:$J$53)*100,0)&amp;"%)"</f>
        <v>35 (28%)</v>
      </c>
      <c r="K41" s="128"/>
      <c r="L41" s="128"/>
      <c r="M41" s="128"/>
      <c r="N41" s="128"/>
      <c r="O41" s="128"/>
      <c r="P41" s="533"/>
      <c r="Q41" s="186"/>
      <c r="R41" s="137"/>
      <c r="S41" s="137"/>
      <c r="T41" s="186"/>
      <c r="U41" s="128"/>
    </row>
    <row r="42" spans="1:21" ht="31.5" customHeight="1" x14ac:dyDescent="0.3">
      <c r="A42" s="183" t="s">
        <v>80</v>
      </c>
      <c r="B42" s="138">
        <f>IF(A42="X",COUNTIF($A$1:A42,"X"),"")</f>
        <v>14</v>
      </c>
      <c r="C42" s="539"/>
      <c r="D42" s="128"/>
      <c r="E42" s="553"/>
      <c r="F42" s="541" t="s">
        <v>85</v>
      </c>
      <c r="G42" s="541"/>
      <c r="H42" s="541"/>
      <c r="I42" s="541"/>
      <c r="J42" s="188">
        <v>15</v>
      </c>
      <c r="K42" s="128"/>
      <c r="L42" s="128"/>
      <c r="M42" s="128"/>
      <c r="N42" s="128"/>
      <c r="O42" s="128"/>
      <c r="P42" s="533"/>
      <c r="Q42" s="186"/>
      <c r="R42" s="137"/>
      <c r="S42" s="137"/>
      <c r="T42" s="186"/>
      <c r="U42" s="128"/>
    </row>
    <row r="43" spans="1:21" ht="31.5" customHeight="1" x14ac:dyDescent="0.3">
      <c r="A43" s="183" t="s">
        <v>80</v>
      </c>
      <c r="B43" s="138">
        <f>IF(A43="X",COUNTIF($A$1:A43,"X"),"")</f>
        <v>15</v>
      </c>
      <c r="C43" s="539"/>
      <c r="D43" s="128"/>
      <c r="E43" s="553"/>
      <c r="F43" s="542" t="s">
        <v>86</v>
      </c>
      <c r="G43" s="543"/>
      <c r="H43" s="543"/>
      <c r="I43" s="544"/>
      <c r="J43" s="188">
        <v>10</v>
      </c>
      <c r="K43" s="128"/>
      <c r="L43" s="128"/>
      <c r="M43" s="128"/>
      <c r="N43" s="128"/>
      <c r="O43" s="128"/>
      <c r="P43" s="533"/>
      <c r="Q43" s="186"/>
      <c r="R43" s="137"/>
      <c r="S43" s="137"/>
      <c r="T43" s="186"/>
      <c r="U43" s="128"/>
    </row>
    <row r="44" spans="1:21" ht="31.5" customHeight="1" x14ac:dyDescent="0.3">
      <c r="A44" s="183" t="s">
        <v>80</v>
      </c>
      <c r="B44" s="138">
        <f>IF(A44="X",COUNTIF($A$1:A44,"X"),"")</f>
        <v>16</v>
      </c>
      <c r="C44" s="539"/>
      <c r="D44" s="128"/>
      <c r="E44" s="553"/>
      <c r="F44" s="541" t="s">
        <v>87</v>
      </c>
      <c r="G44" s="541"/>
      <c r="H44" s="541"/>
      <c r="I44" s="541"/>
      <c r="J44" s="188">
        <v>10</v>
      </c>
      <c r="K44" s="128"/>
      <c r="L44" s="128"/>
      <c r="M44" s="128"/>
      <c r="N44" s="128"/>
      <c r="O44" s="128"/>
      <c r="P44" s="533"/>
      <c r="Q44" s="186"/>
      <c r="R44" s="137"/>
      <c r="S44" s="137"/>
      <c r="T44" s="186"/>
      <c r="U44" s="128"/>
    </row>
    <row r="45" spans="1:21" ht="15" customHeight="1" x14ac:dyDescent="0.3">
      <c r="A45" s="183"/>
      <c r="B45" s="138" t="str">
        <f>IF(A45="X",COUNTIF($A$1:A45,"X"),"")</f>
        <v/>
      </c>
      <c r="C45" s="539"/>
      <c r="D45" s="128"/>
      <c r="E45" s="553"/>
      <c r="F45" s="137"/>
      <c r="G45" s="137"/>
      <c r="H45" s="137"/>
      <c r="I45" s="137"/>
      <c r="J45" s="128"/>
      <c r="K45" s="128"/>
      <c r="L45" s="128"/>
      <c r="M45" s="128"/>
      <c r="N45" s="128"/>
      <c r="O45" s="128"/>
      <c r="P45" s="533"/>
      <c r="Q45" s="186"/>
      <c r="R45" s="137"/>
      <c r="S45" s="137"/>
      <c r="T45" s="186"/>
      <c r="U45" s="128"/>
    </row>
    <row r="46" spans="1:21" ht="31.5" customHeight="1" x14ac:dyDescent="0.3">
      <c r="A46" s="183"/>
      <c r="B46" s="138" t="str">
        <f>IF(A46="X",COUNTIF($A$1:A46,"X"),"")</f>
        <v/>
      </c>
      <c r="C46" s="539"/>
      <c r="D46" s="128"/>
      <c r="E46" s="553"/>
      <c r="F46" s="560" t="s">
        <v>20</v>
      </c>
      <c r="G46" s="560"/>
      <c r="H46" s="560"/>
      <c r="I46" s="560"/>
      <c r="J46" s="199" t="str">
        <f>SUM(J47:J47)&amp;" ("&amp;ROUND(SUM(J47:J47)/SUMIF($A$29:$A$53,"X",$J$29:$J$53)*100,0)&amp;"%)"</f>
        <v>15 (12%)</v>
      </c>
      <c r="K46" s="128"/>
      <c r="L46" s="128"/>
      <c r="M46" s="128"/>
      <c r="N46" s="128"/>
      <c r="O46" s="128"/>
      <c r="P46" s="533"/>
      <c r="Q46" s="186"/>
      <c r="R46" s="137"/>
      <c r="S46" s="137"/>
      <c r="T46" s="186"/>
      <c r="U46" s="128"/>
    </row>
    <row r="47" spans="1:21" ht="45" customHeight="1" x14ac:dyDescent="0.3">
      <c r="A47" s="183" t="s">
        <v>80</v>
      </c>
      <c r="B47" s="138">
        <f>IF(A47="X",COUNTIF($A$1:A47,"X"),"")</f>
        <v>17</v>
      </c>
      <c r="C47" s="539"/>
      <c r="D47" s="128"/>
      <c r="E47" s="553"/>
      <c r="F47" s="541" t="s">
        <v>90</v>
      </c>
      <c r="G47" s="541"/>
      <c r="H47" s="541"/>
      <c r="I47" s="541"/>
      <c r="J47" s="188">
        <v>15</v>
      </c>
      <c r="K47" s="128"/>
      <c r="L47" s="128"/>
      <c r="M47" s="128"/>
      <c r="N47" s="128"/>
      <c r="O47" s="128"/>
      <c r="P47" s="533"/>
      <c r="Q47" s="186"/>
      <c r="R47" s="137"/>
      <c r="S47" s="137"/>
      <c r="T47" s="186"/>
      <c r="U47" s="128"/>
    </row>
    <row r="48" spans="1:21" ht="15" customHeight="1" x14ac:dyDescent="0.3">
      <c r="A48" s="183"/>
      <c r="B48" s="138" t="str">
        <f>IF(A48="X",COUNTIF($A$1:A48,"X"),"")</f>
        <v/>
      </c>
      <c r="C48" s="539"/>
      <c r="D48" s="128"/>
      <c r="E48" s="553"/>
      <c r="F48" s="137"/>
      <c r="G48" s="137"/>
      <c r="H48" s="137"/>
      <c r="I48" s="137"/>
      <c r="J48" s="128"/>
      <c r="K48" s="128"/>
      <c r="L48" s="128"/>
      <c r="M48" s="128"/>
      <c r="N48" s="128"/>
      <c r="O48" s="128"/>
      <c r="P48" s="533"/>
      <c r="Q48" s="186"/>
      <c r="R48" s="137"/>
      <c r="S48" s="137"/>
      <c r="T48" s="186"/>
      <c r="U48" s="128"/>
    </row>
    <row r="49" spans="1:21" ht="31.5" customHeight="1" x14ac:dyDescent="0.3">
      <c r="A49" s="183"/>
      <c r="B49" s="138" t="str">
        <f>IF(A49="X",COUNTIF($A$1:A49,"X"),"")</f>
        <v/>
      </c>
      <c r="C49" s="539"/>
      <c r="D49" s="128"/>
      <c r="E49" s="553"/>
      <c r="F49" s="560" t="s">
        <v>88</v>
      </c>
      <c r="G49" s="560"/>
      <c r="H49" s="560"/>
      <c r="I49" s="560"/>
      <c r="J49" s="199" t="str">
        <f>SUM(J50:J50)&amp;" ("&amp;ROUND(SUM(J50:J50)/SUMIF($A$29:$A$53,"X",$J$29:$J$53)*100,0)&amp;"%)"</f>
        <v>5 (4%)</v>
      </c>
      <c r="K49" s="128"/>
      <c r="L49" s="128"/>
      <c r="M49" s="128"/>
      <c r="N49" s="128"/>
      <c r="O49" s="128"/>
      <c r="P49" s="533"/>
      <c r="Q49" s="186"/>
      <c r="R49" s="137"/>
      <c r="S49" s="137"/>
      <c r="T49" s="186"/>
      <c r="U49" s="128"/>
    </row>
    <row r="50" spans="1:21" ht="45" customHeight="1" x14ac:dyDescent="0.3">
      <c r="A50" s="183" t="s">
        <v>80</v>
      </c>
      <c r="B50" s="138">
        <f>IF(A50="X",COUNTIF($A$1:A50,"X"),"")</f>
        <v>18</v>
      </c>
      <c r="C50" s="539"/>
      <c r="D50" s="128"/>
      <c r="E50" s="553"/>
      <c r="F50" s="541" t="s">
        <v>21</v>
      </c>
      <c r="G50" s="541"/>
      <c r="H50" s="541"/>
      <c r="I50" s="541"/>
      <c r="J50" s="188">
        <v>5</v>
      </c>
      <c r="K50" s="128"/>
      <c r="L50" s="128"/>
      <c r="M50" s="128"/>
      <c r="N50" s="128"/>
      <c r="O50" s="128"/>
      <c r="P50" s="533"/>
      <c r="Q50" s="186"/>
      <c r="R50" s="137"/>
      <c r="S50" s="137"/>
      <c r="T50" s="186"/>
      <c r="U50" s="128"/>
    </row>
    <row r="51" spans="1:21" ht="15" customHeight="1" x14ac:dyDescent="0.3">
      <c r="A51" s="183"/>
      <c r="B51" s="138" t="str">
        <f>IF(A51="X",COUNTIF($A$1:A51,"X"),"")</f>
        <v/>
      </c>
      <c r="C51" s="539"/>
      <c r="D51" s="128"/>
      <c r="E51" s="553"/>
      <c r="F51" s="137"/>
      <c r="G51" s="137"/>
      <c r="H51" s="137"/>
      <c r="I51" s="137"/>
      <c r="J51" s="128"/>
      <c r="K51" s="128"/>
      <c r="L51" s="128"/>
      <c r="M51" s="128"/>
      <c r="N51" s="128"/>
      <c r="O51" s="128"/>
      <c r="P51" s="533"/>
      <c r="Q51" s="186"/>
      <c r="R51" s="137"/>
      <c r="S51" s="137"/>
      <c r="T51" s="186"/>
      <c r="U51" s="128"/>
    </row>
    <row r="52" spans="1:21" ht="31.5" customHeight="1" x14ac:dyDescent="0.3">
      <c r="A52" s="183"/>
      <c r="B52" s="138" t="str">
        <f>IF(A52="X",COUNTIF($A$1:A52,"X"),"")</f>
        <v/>
      </c>
      <c r="C52" s="539"/>
      <c r="D52" s="128"/>
      <c r="E52" s="553"/>
      <c r="F52" s="560" t="s">
        <v>89</v>
      </c>
      <c r="G52" s="560"/>
      <c r="H52" s="560"/>
      <c r="I52" s="560"/>
      <c r="J52" s="199" t="str">
        <f>SUM(J53:J53)&amp;" ("&amp;ROUND(SUM(J53:J53)/SUMIF($A$29:$A$53,"X",$J$29:$J$53)*100,0)&amp;"%)"</f>
        <v>15 (12%)</v>
      </c>
      <c r="K52" s="128"/>
      <c r="L52" s="128"/>
      <c r="M52" s="128"/>
      <c r="N52" s="128"/>
      <c r="O52" s="128"/>
      <c r="P52" s="533"/>
      <c r="Q52" s="186"/>
      <c r="R52" s="137"/>
      <c r="S52" s="137"/>
      <c r="T52" s="186"/>
      <c r="U52" s="128"/>
    </row>
    <row r="53" spans="1:21" ht="31.5" customHeight="1" x14ac:dyDescent="0.3">
      <c r="A53" s="183" t="s">
        <v>80</v>
      </c>
      <c r="B53" s="138">
        <f>IF(A53="X",COUNTIF($A$1:A53,"X"),"")</f>
        <v>19</v>
      </c>
      <c r="C53" s="539"/>
      <c r="D53" s="128"/>
      <c r="E53" s="553"/>
      <c r="F53" s="541" t="s">
        <v>22</v>
      </c>
      <c r="G53" s="541"/>
      <c r="H53" s="541"/>
      <c r="I53" s="541"/>
      <c r="J53" s="188">
        <v>15</v>
      </c>
      <c r="K53" s="128"/>
      <c r="L53" s="128"/>
      <c r="M53" s="128"/>
      <c r="N53" s="128"/>
      <c r="O53" s="128"/>
      <c r="P53" s="533"/>
      <c r="Q53" s="186"/>
      <c r="R53" s="137"/>
      <c r="S53" s="137"/>
      <c r="T53" s="186"/>
      <c r="U53" s="128"/>
    </row>
    <row r="54" spans="1:21" ht="15" customHeight="1" x14ac:dyDescent="0.3">
      <c r="A54" s="183"/>
      <c r="B54" s="138" t="str">
        <f>IF(A54="X",COUNTIF($A$1:A54,"X"),"")</f>
        <v/>
      </c>
      <c r="C54" s="539"/>
      <c r="D54" s="128"/>
      <c r="E54" s="208"/>
      <c r="F54" s="209"/>
      <c r="G54" s="209"/>
      <c r="H54" s="209"/>
      <c r="I54" s="209"/>
      <c r="J54" s="128"/>
      <c r="K54" s="128"/>
      <c r="L54" s="128"/>
      <c r="M54" s="128"/>
      <c r="N54" s="128"/>
      <c r="O54" s="128"/>
      <c r="P54" s="533"/>
      <c r="Q54" s="186"/>
      <c r="R54" s="137"/>
      <c r="S54" s="137"/>
      <c r="T54" s="186"/>
      <c r="U54" s="128"/>
    </row>
    <row r="55" spans="1:21" ht="15.75" customHeight="1" x14ac:dyDescent="0.3">
      <c r="A55" s="183"/>
      <c r="B55" s="138" t="str">
        <f>IF(A55="X",COUNTIF($A$1:A55,"X"),"")</f>
        <v/>
      </c>
      <c r="C55" s="539"/>
      <c r="D55" s="128"/>
      <c r="E55" s="553" t="s">
        <v>91</v>
      </c>
      <c r="F55" s="560" t="s">
        <v>63</v>
      </c>
      <c r="G55" s="560"/>
      <c r="H55" s="560"/>
      <c r="I55" s="560"/>
      <c r="J55" s="199" t="str">
        <f>SUM(J56:J56)&amp;" ("&amp;ROUND(SUM(J56:J56)/SUMIF($A$55:$A$65,"X",$J$55:$J$65)*100,0)&amp;"%)"</f>
        <v>25 (29%)</v>
      </c>
      <c r="K55" s="128"/>
      <c r="L55" s="128"/>
      <c r="M55" s="128"/>
      <c r="N55" s="128"/>
      <c r="O55" s="128"/>
      <c r="P55" s="533"/>
      <c r="Q55" s="186"/>
      <c r="R55" s="137"/>
      <c r="S55" s="137"/>
      <c r="T55" s="186"/>
      <c r="U55" s="128"/>
    </row>
    <row r="56" spans="1:21" ht="15.75" customHeight="1" x14ac:dyDescent="0.3">
      <c r="A56" s="183" t="s">
        <v>80</v>
      </c>
      <c r="B56" s="138">
        <f>IF(A56="X",COUNTIF($A$1:A56,"X"),"")</f>
        <v>20</v>
      </c>
      <c r="C56" s="539"/>
      <c r="D56" s="128"/>
      <c r="E56" s="553"/>
      <c r="F56" s="541" t="s">
        <v>94</v>
      </c>
      <c r="G56" s="541"/>
      <c r="H56" s="541"/>
      <c r="I56" s="541"/>
      <c r="J56" s="188">
        <v>25</v>
      </c>
      <c r="K56" s="128"/>
      <c r="L56" s="128"/>
      <c r="M56" s="128"/>
      <c r="N56" s="128"/>
      <c r="O56" s="128"/>
      <c r="P56" s="533"/>
      <c r="Q56" s="186"/>
      <c r="R56" s="137"/>
      <c r="S56" s="137"/>
      <c r="T56" s="186"/>
      <c r="U56" s="128"/>
    </row>
    <row r="57" spans="1:21" ht="15" customHeight="1" x14ac:dyDescent="0.3">
      <c r="A57" s="183"/>
      <c r="B57" s="138" t="str">
        <f>IF(A57="X",COUNTIF($A$1:A57,"X"),"")</f>
        <v/>
      </c>
      <c r="C57" s="539"/>
      <c r="D57" s="128"/>
      <c r="E57" s="553"/>
      <c r="F57" s="137"/>
      <c r="G57" s="137"/>
      <c r="H57" s="137"/>
      <c r="I57" s="137"/>
      <c r="J57" s="128"/>
      <c r="K57" s="128"/>
      <c r="L57" s="128"/>
      <c r="M57" s="128"/>
      <c r="N57" s="128"/>
      <c r="O57" s="128"/>
      <c r="P57" s="533"/>
      <c r="Q57" s="186"/>
      <c r="R57" s="137"/>
      <c r="S57" s="137"/>
      <c r="T57" s="186"/>
      <c r="U57" s="128"/>
    </row>
    <row r="58" spans="1:21" ht="15.75" customHeight="1" x14ac:dyDescent="0.3">
      <c r="A58" s="183"/>
      <c r="B58" s="138" t="str">
        <f>IF(A58="X",COUNTIF($A$1:A58,"X"),"")</f>
        <v/>
      </c>
      <c r="C58" s="539"/>
      <c r="D58" s="128"/>
      <c r="E58" s="553"/>
      <c r="F58" s="560" t="s">
        <v>280</v>
      </c>
      <c r="G58" s="560"/>
      <c r="H58" s="560"/>
      <c r="I58" s="560"/>
      <c r="J58" s="199" t="str">
        <f>SUM(J59:J59)&amp;" ("&amp;ROUND(SUM(J59:J59)/SUMIF($A$55:$A$65,"X",$J$55:$J$65)*100,0)&amp;"%)"</f>
        <v>40 (47%)</v>
      </c>
      <c r="K58" s="128"/>
      <c r="L58" s="128"/>
      <c r="M58" s="128"/>
      <c r="N58" s="128"/>
      <c r="O58" s="128"/>
      <c r="P58" s="533"/>
      <c r="Q58" s="186"/>
      <c r="R58" s="137"/>
      <c r="S58" s="137"/>
      <c r="T58" s="186"/>
      <c r="U58" s="128"/>
    </row>
    <row r="59" spans="1:21" ht="15.75" customHeight="1" x14ac:dyDescent="0.3">
      <c r="A59" s="183" t="s">
        <v>80</v>
      </c>
      <c r="B59" s="138">
        <f>IF(A59="X",COUNTIF($A$1:A59,"X"),"")</f>
        <v>21</v>
      </c>
      <c r="C59" s="539"/>
      <c r="D59" s="128"/>
      <c r="E59" s="553"/>
      <c r="F59" s="541" t="s">
        <v>94</v>
      </c>
      <c r="G59" s="541"/>
      <c r="H59" s="541"/>
      <c r="I59" s="541"/>
      <c r="J59" s="188">
        <v>40</v>
      </c>
      <c r="K59" s="128"/>
      <c r="L59" s="128"/>
      <c r="M59" s="128"/>
      <c r="N59" s="128"/>
      <c r="O59" s="128"/>
      <c r="P59" s="533"/>
      <c r="Q59" s="186"/>
      <c r="R59" s="137"/>
      <c r="S59" s="137"/>
      <c r="T59" s="186"/>
      <c r="U59" s="128"/>
    </row>
    <row r="60" spans="1:21" ht="15" customHeight="1" x14ac:dyDescent="0.3">
      <c r="A60" s="183"/>
      <c r="B60" s="138" t="str">
        <f>IF(A60="X",COUNTIF($A$1:A60,"X"),"")</f>
        <v/>
      </c>
      <c r="C60" s="539"/>
      <c r="D60" s="128"/>
      <c r="E60" s="553"/>
      <c r="F60" s="137"/>
      <c r="G60" s="137"/>
      <c r="H60" s="137"/>
      <c r="I60" s="137"/>
      <c r="J60" s="128"/>
      <c r="K60" s="128"/>
      <c r="L60" s="128"/>
      <c r="M60" s="128"/>
      <c r="N60" s="128"/>
      <c r="O60" s="128"/>
      <c r="P60" s="533"/>
      <c r="Q60" s="186"/>
      <c r="R60" s="137"/>
      <c r="S60" s="137"/>
      <c r="T60" s="186"/>
      <c r="U60" s="128"/>
    </row>
    <row r="61" spans="1:21" ht="15.75" customHeight="1" x14ac:dyDescent="0.3">
      <c r="A61" s="183"/>
      <c r="B61" s="138" t="str">
        <f>IF(A61="X",COUNTIF($A$1:A61,"X"),"")</f>
        <v/>
      </c>
      <c r="C61" s="539"/>
      <c r="D61" s="128"/>
      <c r="E61" s="553"/>
      <c r="F61" s="560" t="s">
        <v>92</v>
      </c>
      <c r="G61" s="560"/>
      <c r="H61" s="560"/>
      <c r="I61" s="560"/>
      <c r="J61" s="199" t="str">
        <f>SUM(J62:J62)&amp;" ("&amp;ROUND(SUM(J62:J62)/SUMIF($A$55:$A$65,"X",$J$55:$J$65)*100,0)&amp;"%)"</f>
        <v>10 (12%)</v>
      </c>
      <c r="K61" s="128"/>
      <c r="L61" s="128"/>
      <c r="M61" s="128"/>
      <c r="N61" s="128"/>
      <c r="O61" s="128"/>
      <c r="P61" s="533"/>
      <c r="Q61" s="186"/>
      <c r="R61" s="137"/>
      <c r="S61" s="137"/>
      <c r="T61" s="186"/>
      <c r="U61" s="128"/>
    </row>
    <row r="62" spans="1:21" ht="15.75" customHeight="1" x14ac:dyDescent="0.3">
      <c r="A62" s="183" t="s">
        <v>80</v>
      </c>
      <c r="B62" s="138">
        <f>IF(A62="X",COUNTIF($A$1:A62,"X"),"")</f>
        <v>22</v>
      </c>
      <c r="C62" s="539"/>
      <c r="D62" s="128"/>
      <c r="E62" s="553"/>
      <c r="F62" s="541" t="s">
        <v>94</v>
      </c>
      <c r="G62" s="541"/>
      <c r="H62" s="541"/>
      <c r="I62" s="541"/>
      <c r="J62" s="188">
        <v>10</v>
      </c>
      <c r="K62" s="128"/>
      <c r="L62" s="128"/>
      <c r="M62" s="128"/>
      <c r="N62" s="128"/>
      <c r="O62" s="128"/>
      <c r="P62" s="533"/>
      <c r="Q62" s="186"/>
      <c r="R62" s="137"/>
      <c r="S62" s="137"/>
      <c r="T62" s="186"/>
      <c r="U62" s="128"/>
    </row>
    <row r="63" spans="1:21" ht="15" customHeight="1" x14ac:dyDescent="0.3">
      <c r="A63" s="183"/>
      <c r="B63" s="138" t="str">
        <f>IF(A63="X",COUNTIF($A$1:A63,"X"),"")</f>
        <v/>
      </c>
      <c r="C63" s="539"/>
      <c r="D63" s="128"/>
      <c r="E63" s="553"/>
      <c r="F63" s="137"/>
      <c r="G63" s="137"/>
      <c r="H63" s="137"/>
      <c r="I63" s="137"/>
      <c r="J63" s="128"/>
      <c r="K63" s="128"/>
      <c r="L63" s="128"/>
      <c r="M63" s="128"/>
      <c r="N63" s="128"/>
      <c r="O63" s="128"/>
      <c r="P63" s="533"/>
      <c r="Q63" s="186"/>
      <c r="R63" s="137"/>
      <c r="S63" s="137"/>
      <c r="T63" s="186"/>
      <c r="U63" s="128"/>
    </row>
    <row r="64" spans="1:21" ht="15.75" customHeight="1" x14ac:dyDescent="0.3">
      <c r="A64" s="183"/>
      <c r="B64" s="138" t="str">
        <f>IF(A64="X",COUNTIF($A$1:A64,"X"),"")</f>
        <v/>
      </c>
      <c r="C64" s="539"/>
      <c r="D64" s="128"/>
      <c r="E64" s="553"/>
      <c r="F64" s="560" t="s">
        <v>93</v>
      </c>
      <c r="G64" s="560"/>
      <c r="H64" s="560"/>
      <c r="I64" s="560"/>
      <c r="J64" s="199" t="str">
        <f>SUM(J65:J65)&amp;" ("&amp;ROUND(SUM(J65:J65)/SUMIF($A$55:$A$65,"X",$J$55:$J$65)*100,0)&amp;"%)"</f>
        <v>10 (12%)</v>
      </c>
      <c r="K64" s="128"/>
      <c r="L64" s="128"/>
      <c r="M64" s="128"/>
      <c r="N64" s="128"/>
      <c r="O64" s="128"/>
      <c r="P64" s="533"/>
      <c r="Q64" s="186"/>
      <c r="R64" s="137"/>
      <c r="S64" s="137"/>
      <c r="T64" s="186"/>
      <c r="U64" s="128"/>
    </row>
    <row r="65" spans="1:26" ht="15.75" customHeight="1" x14ac:dyDescent="0.3">
      <c r="A65" s="183" t="s">
        <v>80</v>
      </c>
      <c r="B65" s="138">
        <f>IF(A65="X",COUNTIF($A$1:A65,"X"),"")</f>
        <v>23</v>
      </c>
      <c r="C65" s="540"/>
      <c r="D65" s="128"/>
      <c r="E65" s="553"/>
      <c r="F65" s="541" t="s">
        <v>94</v>
      </c>
      <c r="G65" s="541"/>
      <c r="H65" s="541"/>
      <c r="I65" s="541"/>
      <c r="J65" s="188">
        <v>10</v>
      </c>
      <c r="K65" s="128"/>
      <c r="L65" s="128"/>
      <c r="M65" s="128"/>
      <c r="N65" s="128"/>
      <c r="O65" s="128"/>
      <c r="P65" s="534"/>
      <c r="Q65" s="186"/>
      <c r="R65" s="137"/>
      <c r="S65" s="137"/>
      <c r="T65" s="186"/>
      <c r="U65" s="128"/>
    </row>
    <row r="66" spans="1:26" x14ac:dyDescent="0.3">
      <c r="A66" s="183"/>
      <c r="B66" s="138" t="str">
        <f>IF(A66="X",COUNTIF($A$1:A66,"X"),"")</f>
        <v/>
      </c>
      <c r="C66" s="198"/>
      <c r="D66" s="128"/>
      <c r="E66" s="128"/>
      <c r="F66" s="128"/>
      <c r="G66" s="128"/>
      <c r="H66" s="128"/>
      <c r="I66" s="128"/>
      <c r="J66" s="128"/>
      <c r="K66" s="128"/>
      <c r="L66" s="128"/>
      <c r="M66" s="128"/>
      <c r="N66" s="128"/>
      <c r="O66" s="128"/>
      <c r="P66" s="185"/>
      <c r="Q66" s="186"/>
      <c r="R66" s="137"/>
      <c r="S66" s="137"/>
      <c r="T66" s="186"/>
      <c r="U66" s="128"/>
    </row>
    <row r="67" spans="1:26" ht="120" customHeight="1" x14ac:dyDescent="0.3">
      <c r="A67" s="183" t="s">
        <v>80</v>
      </c>
      <c r="B67" s="138">
        <f>IF(A67="X",COUNTIF($A$1:A67,"X"),"")</f>
        <v>24</v>
      </c>
      <c r="C67" s="538" t="s">
        <v>54</v>
      </c>
      <c r="D67" s="194"/>
      <c r="E67" s="210" t="s">
        <v>41</v>
      </c>
      <c r="F67" s="542" t="s">
        <v>42</v>
      </c>
      <c r="G67" s="543"/>
      <c r="H67" s="543"/>
      <c r="I67" s="544"/>
      <c r="J67" s="197">
        <v>4000</v>
      </c>
      <c r="K67" s="128"/>
      <c r="L67" s="128"/>
      <c r="M67" s="128"/>
      <c r="N67" s="128"/>
      <c r="O67" s="128"/>
      <c r="P67" s="195" t="s">
        <v>486</v>
      </c>
      <c r="Q67" s="186"/>
      <c r="R67" s="137"/>
      <c r="S67" s="137"/>
      <c r="T67" s="186"/>
      <c r="U67" s="128"/>
    </row>
    <row r="68" spans="1:26" x14ac:dyDescent="0.3">
      <c r="A68" s="183"/>
      <c r="B68" s="138" t="str">
        <f>IF(A68="X",COUNTIF($A$1:A68,"X"),"")</f>
        <v/>
      </c>
      <c r="C68" s="539"/>
      <c r="D68" s="128"/>
      <c r="E68" s="128"/>
      <c r="F68" s="472" t="s">
        <v>444</v>
      </c>
      <c r="G68" s="472"/>
      <c r="H68" s="472"/>
      <c r="I68" s="472"/>
      <c r="J68" s="472">
        <v>4600</v>
      </c>
      <c r="K68" s="211"/>
      <c r="L68" s="211"/>
      <c r="M68" s="211"/>
      <c r="N68" s="211"/>
      <c r="O68" s="128"/>
      <c r="P68" s="185"/>
      <c r="Q68" s="186"/>
      <c r="R68" s="137"/>
      <c r="S68" s="137"/>
      <c r="T68" s="186"/>
      <c r="U68" s="128"/>
      <c r="Z68" s="212"/>
    </row>
    <row r="69" spans="1:26" ht="31.5" customHeight="1" x14ac:dyDescent="0.3">
      <c r="A69" s="183" t="s">
        <v>80</v>
      </c>
      <c r="B69" s="138">
        <f>IF(A69="X",COUNTIF($A$1:A69,"X"),"")</f>
        <v>25</v>
      </c>
      <c r="C69" s="539"/>
      <c r="D69" s="194"/>
      <c r="E69" s="213" t="s">
        <v>49</v>
      </c>
      <c r="F69" s="542" t="str">
        <f>"Wie viel kostet ein Ausfall von einem Lkw-Parkstand pro Jahr [€/a]? --&gt; entspricht Nr. "&amp;B67</f>
        <v>Wie viel kostet ein Ausfall von einem Lkw-Parkstand pro Jahr [€/a]? --&gt; entspricht Nr. 24</v>
      </c>
      <c r="G69" s="543"/>
      <c r="H69" s="543"/>
      <c r="I69" s="544"/>
      <c r="J69" s="155">
        <f>J67</f>
        <v>4000</v>
      </c>
      <c r="K69" s="128"/>
      <c r="L69" s="128"/>
      <c r="M69" s="128"/>
      <c r="N69" s="128"/>
      <c r="O69" s="128"/>
      <c r="P69" s="195" t="str">
        <f>"Den Nutzen, den ein neu geschaffener Lkw-Parkstand pro Jahr bringt (siehe Parameter Nr. "&amp;$B$67&amp;"), den kostet der Lkw-Parkstand auch im Falle eines Ausfalls. Der Wert entspricht somit dem Wert von Parameter Nr. "&amp;$B$67&amp;"."</f>
        <v>Den Nutzen, den ein neu geschaffener Lkw-Parkstand pro Jahr bringt (siehe Parameter Nr. 24), den kostet der Lkw-Parkstand auch im Falle eines Ausfalls. Der Wert entspricht somit dem Wert von Parameter Nr. 24.</v>
      </c>
      <c r="Q69" s="186"/>
      <c r="R69" s="137"/>
      <c r="S69" s="137"/>
      <c r="T69" s="186"/>
      <c r="U69" s="128"/>
      <c r="Z69" s="212"/>
    </row>
    <row r="70" spans="1:26" ht="15" customHeight="1" x14ac:dyDescent="0.3">
      <c r="A70" s="183"/>
      <c r="B70" s="138" t="str">
        <f>IF(A70="X",COUNTIF($A$1:A70,"X"),"")</f>
        <v/>
      </c>
      <c r="C70" s="539"/>
      <c r="D70" s="128"/>
      <c r="E70" s="214"/>
      <c r="F70" s="215"/>
      <c r="G70" s="137"/>
      <c r="H70" s="137"/>
      <c r="I70" s="137"/>
      <c r="J70" s="128"/>
      <c r="K70" s="128"/>
      <c r="L70" s="128"/>
      <c r="M70" s="128"/>
      <c r="N70" s="128"/>
      <c r="O70" s="128"/>
      <c r="P70" s="185"/>
      <c r="Q70" s="186"/>
      <c r="R70" s="137"/>
      <c r="S70" s="137"/>
      <c r="T70" s="186"/>
      <c r="U70" s="128"/>
    </row>
    <row r="71" spans="1:26" ht="15" customHeight="1" x14ac:dyDescent="0.3">
      <c r="A71" s="183"/>
      <c r="B71" s="138" t="str">
        <f>IF(A71="X",COUNTIF($A$1:A71,"X"),"")</f>
        <v/>
      </c>
      <c r="C71" s="539"/>
      <c r="D71" s="128"/>
      <c r="E71" s="517" t="s">
        <v>79</v>
      </c>
      <c r="F71" s="554" t="s">
        <v>74</v>
      </c>
      <c r="G71" s="555"/>
      <c r="H71" s="555"/>
      <c r="I71" s="556"/>
      <c r="J71" s="536" t="s">
        <v>76</v>
      </c>
      <c r="K71" s="548"/>
      <c r="L71" s="537"/>
      <c r="M71" s="536" t="s">
        <v>190</v>
      </c>
      <c r="N71" s="537"/>
      <c r="O71" s="128"/>
      <c r="P71" s="532" t="s">
        <v>487</v>
      </c>
      <c r="Q71" s="186"/>
      <c r="R71" s="137"/>
      <c r="S71" s="137"/>
      <c r="T71" s="186"/>
      <c r="U71" s="128"/>
    </row>
    <row r="72" spans="1:26" ht="15" customHeight="1" x14ac:dyDescent="0.3">
      <c r="A72" s="183"/>
      <c r="B72" s="138" t="str">
        <f>IF(A72="X",COUNTIF($A$1:A72,"X"),"")</f>
        <v/>
      </c>
      <c r="C72" s="539"/>
      <c r="D72" s="128"/>
      <c r="E72" s="517"/>
      <c r="F72" s="557"/>
      <c r="G72" s="558"/>
      <c r="H72" s="558"/>
      <c r="I72" s="559"/>
      <c r="J72" s="216" t="s">
        <v>77</v>
      </c>
      <c r="K72" s="217" t="s">
        <v>78</v>
      </c>
      <c r="L72" s="218" t="s">
        <v>180</v>
      </c>
      <c r="M72" s="216" t="s">
        <v>77</v>
      </c>
      <c r="N72" s="217" t="s">
        <v>78</v>
      </c>
      <c r="O72" s="128"/>
      <c r="P72" s="533"/>
      <c r="Q72" s="186"/>
      <c r="R72" s="137"/>
      <c r="S72" s="137"/>
      <c r="T72" s="186"/>
      <c r="U72" s="128"/>
    </row>
    <row r="73" spans="1:26" ht="15" customHeight="1" x14ac:dyDescent="0.3">
      <c r="A73" s="183" t="s">
        <v>80</v>
      </c>
      <c r="B73" s="138">
        <f>IF(A73="X",COUNTIF($A$1:A73,"X"),"")</f>
        <v>26</v>
      </c>
      <c r="C73" s="539"/>
      <c r="D73" s="128"/>
      <c r="E73" s="517"/>
      <c r="F73" s="219" t="s">
        <v>182</v>
      </c>
      <c r="G73" s="220"/>
      <c r="H73" s="220"/>
      <c r="I73" s="221"/>
      <c r="J73" s="222">
        <v>1.7999999999999999E-2</v>
      </c>
      <c r="K73" s="223">
        <f>SUM(J73:J76)</f>
        <v>0.18</v>
      </c>
      <c r="L73" s="224">
        <f>1.8%*15/18</f>
        <v>1.5000000000000001E-2</v>
      </c>
      <c r="M73" s="225">
        <v>18</v>
      </c>
      <c r="N73" s="226">
        <f>SUM(M73:$M$77)</f>
        <v>90</v>
      </c>
      <c r="O73" s="128"/>
      <c r="P73" s="533"/>
      <c r="Q73" s="186"/>
      <c r="R73" s="137"/>
      <c r="S73" s="137"/>
      <c r="T73" s="186"/>
      <c r="U73" s="128"/>
    </row>
    <row r="74" spans="1:26" ht="15" customHeight="1" x14ac:dyDescent="0.3">
      <c r="A74" s="183" t="s">
        <v>80</v>
      </c>
      <c r="B74" s="138">
        <f>IF(A74="X",COUNTIF($A$1:A74,"X"),"")</f>
        <v>27</v>
      </c>
      <c r="C74" s="539"/>
      <c r="D74" s="128"/>
      <c r="E74" s="517"/>
      <c r="F74" s="219" t="s">
        <v>183</v>
      </c>
      <c r="G74" s="220"/>
      <c r="H74" s="220"/>
      <c r="I74" s="221"/>
      <c r="J74" s="222">
        <v>5.3999999999999999E-2</v>
      </c>
      <c r="K74" s="223">
        <f>K73-J73</f>
        <v>0.16200000000000001</v>
      </c>
      <c r="L74" s="224">
        <f>5.4%*15/18</f>
        <v>4.5000000000000005E-2</v>
      </c>
      <c r="M74" s="225">
        <v>18</v>
      </c>
      <c r="N74" s="226">
        <f>SUM(M74:$M$77)</f>
        <v>72</v>
      </c>
      <c r="O74" s="128"/>
      <c r="P74" s="533"/>
      <c r="Q74" s="186"/>
      <c r="R74" s="137"/>
      <c r="S74" s="137"/>
      <c r="T74" s="186"/>
      <c r="U74" s="128"/>
    </row>
    <row r="75" spans="1:26" ht="15" customHeight="1" x14ac:dyDescent="0.3">
      <c r="A75" s="183" t="s">
        <v>80</v>
      </c>
      <c r="B75" s="138">
        <f>IF(A75="X",COUNTIF($A$1:A75,"X"),"")</f>
        <v>28</v>
      </c>
      <c r="C75" s="539"/>
      <c r="D75" s="128"/>
      <c r="E75" s="517"/>
      <c r="F75" s="219" t="s">
        <v>184</v>
      </c>
      <c r="G75" s="220"/>
      <c r="H75" s="220"/>
      <c r="I75" s="221"/>
      <c r="J75" s="222">
        <v>1.4999999999999999E-2</v>
      </c>
      <c r="K75" s="223">
        <f t="shared" ref="K75:K76" si="0">K74-J74</f>
        <v>0.10800000000000001</v>
      </c>
      <c r="L75" s="224">
        <f>1.5%*15/18</f>
        <v>1.2499999999999999E-2</v>
      </c>
      <c r="M75" s="225">
        <v>30</v>
      </c>
      <c r="N75" s="226">
        <f>SUM(M75:$M$77)</f>
        <v>54</v>
      </c>
      <c r="O75" s="128"/>
      <c r="P75" s="533"/>
      <c r="Q75" s="186"/>
      <c r="R75" s="137"/>
      <c r="S75" s="137"/>
      <c r="T75" s="186"/>
      <c r="U75" s="128"/>
    </row>
    <row r="76" spans="1:26" ht="15.75" customHeight="1" x14ac:dyDescent="0.3">
      <c r="A76" s="183" t="s">
        <v>80</v>
      </c>
      <c r="B76" s="138">
        <f>IF(A76="X",COUNTIF($A$1:A76,"X"),"")</f>
        <v>29</v>
      </c>
      <c r="C76" s="539"/>
      <c r="D76" s="128"/>
      <c r="E76" s="517"/>
      <c r="F76" s="219" t="s">
        <v>185</v>
      </c>
      <c r="G76" s="220"/>
      <c r="H76" s="220"/>
      <c r="I76" s="221"/>
      <c r="J76" s="222">
        <v>9.2999999999999999E-2</v>
      </c>
      <c r="K76" s="223">
        <f t="shared" si="0"/>
        <v>9.3000000000000013E-2</v>
      </c>
      <c r="L76" s="224">
        <f>9.3%*15/18</f>
        <v>7.7500000000000013E-2</v>
      </c>
      <c r="M76" s="225">
        <v>12</v>
      </c>
      <c r="N76" s="226">
        <f>SUM(M76:$M$77)</f>
        <v>24</v>
      </c>
      <c r="O76" s="128"/>
      <c r="P76" s="533"/>
      <c r="Q76" s="186"/>
      <c r="R76" s="137"/>
      <c r="S76" s="137"/>
      <c r="T76" s="186"/>
      <c r="U76" s="128"/>
    </row>
    <row r="77" spans="1:26" ht="15.75" customHeight="1" thickBot="1" x14ac:dyDescent="0.35">
      <c r="A77" s="183" t="s">
        <v>80</v>
      </c>
      <c r="B77" s="138">
        <f>IF(A77="X",COUNTIF($A$1:A77,"X"),"")</f>
        <v>30</v>
      </c>
      <c r="C77" s="539"/>
      <c r="D77" s="128"/>
      <c r="E77" s="517"/>
      <c r="F77" s="227" t="s">
        <v>191</v>
      </c>
      <c r="G77" s="228"/>
      <c r="H77" s="228"/>
      <c r="I77" s="229"/>
      <c r="J77" s="230">
        <v>0</v>
      </c>
      <c r="K77" s="231">
        <v>0</v>
      </c>
      <c r="L77" s="232">
        <v>0</v>
      </c>
      <c r="M77" s="233">
        <v>12</v>
      </c>
      <c r="N77" s="234">
        <f>SUM(M77:$M$77)</f>
        <v>12</v>
      </c>
      <c r="O77" s="128"/>
      <c r="P77" s="534"/>
      <c r="Q77" s="186"/>
      <c r="R77" s="137"/>
      <c r="S77" s="137"/>
      <c r="T77" s="186"/>
      <c r="U77" s="128"/>
    </row>
    <row r="78" spans="1:26" ht="15.75" customHeight="1" thickTop="1" x14ac:dyDescent="0.3">
      <c r="A78" s="183"/>
      <c r="B78" s="138" t="str">
        <f>IF(A78="X",COUNTIF($A$1:A78,"X"),"")</f>
        <v/>
      </c>
      <c r="C78" s="539"/>
      <c r="D78" s="128"/>
      <c r="E78" s="517"/>
      <c r="F78" s="235" t="s">
        <v>75</v>
      </c>
      <c r="G78" s="236"/>
      <c r="H78" s="236"/>
      <c r="I78" s="237"/>
      <c r="J78" s="238">
        <f>SUM(J73:J76)</f>
        <v>0.18</v>
      </c>
      <c r="K78" s="239">
        <f>J78</f>
        <v>0.18</v>
      </c>
      <c r="L78" s="240">
        <f>SUM(L73:L76)</f>
        <v>0.15000000000000002</v>
      </c>
      <c r="M78" s="238"/>
      <c r="N78" s="239"/>
      <c r="O78" s="128"/>
      <c r="P78" s="185"/>
      <c r="Q78" s="186"/>
      <c r="R78" s="137"/>
      <c r="S78" s="137"/>
      <c r="T78" s="186"/>
      <c r="U78" s="128"/>
    </row>
    <row r="79" spans="1:26" x14ac:dyDescent="0.3">
      <c r="A79" s="183"/>
      <c r="B79" s="138" t="str">
        <f>IF(A79="X",COUNTIF($A$1:A79,"X"),"")</f>
        <v/>
      </c>
      <c r="C79" s="539"/>
      <c r="D79" s="128"/>
      <c r="E79" s="128"/>
      <c r="F79" s="128"/>
      <c r="G79" s="128"/>
      <c r="H79" s="128"/>
      <c r="I79" s="128"/>
      <c r="J79" s="128"/>
      <c r="K79" s="128"/>
      <c r="L79" s="128"/>
      <c r="M79" s="128"/>
      <c r="N79" s="128"/>
      <c r="O79" s="128"/>
      <c r="P79" s="185"/>
      <c r="Q79" s="186"/>
      <c r="R79" s="137"/>
      <c r="S79" s="137"/>
      <c r="T79" s="186"/>
      <c r="U79" s="128"/>
    </row>
    <row r="80" spans="1:26" ht="15.75" customHeight="1" x14ac:dyDescent="0.3">
      <c r="A80" s="183"/>
      <c r="B80" s="138" t="str">
        <f>IF(A80="X",COUNTIF($A$1:A80,"X"),"")</f>
        <v/>
      </c>
      <c r="C80" s="539"/>
      <c r="D80" s="128"/>
      <c r="E80" s="552" t="s">
        <v>115</v>
      </c>
      <c r="F80" s="241" t="s">
        <v>114</v>
      </c>
      <c r="G80" s="242"/>
      <c r="H80" s="546" t="s">
        <v>113</v>
      </c>
      <c r="I80" s="568"/>
      <c r="J80" s="568"/>
      <c r="K80" s="547"/>
      <c r="L80" s="128"/>
      <c r="M80" s="128"/>
      <c r="N80" s="128"/>
      <c r="O80" s="128"/>
      <c r="P80" s="185"/>
      <c r="Q80" s="186"/>
      <c r="R80" s="137"/>
      <c r="S80" s="137"/>
      <c r="T80" s="186"/>
      <c r="U80" s="128"/>
    </row>
    <row r="81" spans="1:26" ht="14.7" customHeight="1" x14ac:dyDescent="0.3">
      <c r="A81" s="183"/>
      <c r="B81" s="138" t="str">
        <f>IF(A81="X",COUNTIF($A$1:A81,"X"),"")</f>
        <v/>
      </c>
      <c r="C81" s="539"/>
      <c r="D81" s="128"/>
      <c r="E81" s="553"/>
      <c r="F81" s="243"/>
      <c r="G81" s="244"/>
      <c r="H81" s="546" t="s">
        <v>108</v>
      </c>
      <c r="I81" s="547"/>
      <c r="J81" s="546" t="s">
        <v>109</v>
      </c>
      <c r="K81" s="547"/>
      <c r="L81" s="128"/>
      <c r="M81" s="128"/>
      <c r="N81" s="128"/>
      <c r="O81" s="128"/>
      <c r="P81" s="185"/>
      <c r="Q81" s="186"/>
      <c r="R81" s="137"/>
      <c r="S81" s="137"/>
      <c r="T81" s="186"/>
      <c r="U81" s="128"/>
    </row>
    <row r="82" spans="1:26" ht="30" customHeight="1" x14ac:dyDescent="0.3">
      <c r="A82" s="183"/>
      <c r="B82" s="138" t="str">
        <f>IF(A82="X",COUNTIF($A$1:A82,"X"),"")</f>
        <v/>
      </c>
      <c r="C82" s="539"/>
      <c r="D82" s="128"/>
      <c r="E82" s="553"/>
      <c r="F82" s="245"/>
      <c r="G82" s="246"/>
      <c r="H82" s="199" t="s">
        <v>96</v>
      </c>
      <c r="I82" s="247" t="s">
        <v>299</v>
      </c>
      <c r="J82" s="199" t="s">
        <v>96</v>
      </c>
      <c r="K82" s="247" t="s">
        <v>299</v>
      </c>
      <c r="L82" s="211"/>
      <c r="M82" s="211"/>
      <c r="N82" s="211"/>
      <c r="O82" s="128"/>
      <c r="P82" s="185"/>
      <c r="Q82" s="186"/>
      <c r="R82" s="137"/>
      <c r="S82" s="137"/>
      <c r="T82" s="186"/>
      <c r="U82" s="128"/>
    </row>
    <row r="83" spans="1:26" ht="21" customHeight="1" x14ac:dyDescent="0.3">
      <c r="A83" s="183" t="s">
        <v>80</v>
      </c>
      <c r="B83" s="138">
        <f>IF(A83="X",COUNTIF($A$1:A83,"X"),"")</f>
        <v>31</v>
      </c>
      <c r="C83" s="539"/>
      <c r="D83" s="128"/>
      <c r="E83" s="553"/>
      <c r="F83" s="561" t="s">
        <v>110</v>
      </c>
      <c r="G83" s="199" t="s">
        <v>46</v>
      </c>
      <c r="H83" s="248">
        <v>0</v>
      </c>
      <c r="I83" s="248">
        <v>0</v>
      </c>
      <c r="J83" s="248">
        <v>0</v>
      </c>
      <c r="K83" s="248">
        <v>0</v>
      </c>
      <c r="L83" s="211"/>
      <c r="M83" s="211"/>
      <c r="N83" s="211"/>
      <c r="O83" s="128"/>
      <c r="P83" s="532" t="s">
        <v>302</v>
      </c>
      <c r="Q83" s="186"/>
      <c r="R83" s="137"/>
      <c r="S83" s="137"/>
      <c r="T83" s="186"/>
      <c r="U83" s="128"/>
    </row>
    <row r="84" spans="1:26" ht="21" customHeight="1" x14ac:dyDescent="0.3">
      <c r="A84" s="183"/>
      <c r="B84" s="138"/>
      <c r="C84" s="539"/>
      <c r="D84" s="128"/>
      <c r="E84" s="553"/>
      <c r="F84" s="561"/>
      <c r="G84" s="199" t="s">
        <v>301</v>
      </c>
      <c r="H84" s="248">
        <v>35</v>
      </c>
      <c r="I84" s="248">
        <v>45</v>
      </c>
      <c r="J84" s="248">
        <v>125</v>
      </c>
      <c r="K84" s="248">
        <v>285</v>
      </c>
      <c r="L84" s="211"/>
      <c r="M84" s="211"/>
      <c r="N84" s="211"/>
      <c r="O84" s="128"/>
      <c r="P84" s="533"/>
      <c r="Q84" s="186"/>
      <c r="R84" s="137"/>
      <c r="S84" s="137"/>
      <c r="T84" s="186"/>
      <c r="U84" s="128"/>
    </row>
    <row r="85" spans="1:26" ht="21" customHeight="1" x14ac:dyDescent="0.3">
      <c r="A85" s="183" t="s">
        <v>80</v>
      </c>
      <c r="B85" s="138">
        <f>IF(A85="X",COUNTIF($A$1:A85,"X"),"")</f>
        <v>32</v>
      </c>
      <c r="C85" s="539"/>
      <c r="D85" s="128"/>
      <c r="E85" s="553"/>
      <c r="F85" s="561"/>
      <c r="G85" s="199" t="s">
        <v>111</v>
      </c>
      <c r="H85" s="248">
        <v>30</v>
      </c>
      <c r="I85" s="248">
        <v>40</v>
      </c>
      <c r="J85" s="248">
        <v>70</v>
      </c>
      <c r="K85" s="248">
        <v>170</v>
      </c>
      <c r="L85" s="211"/>
      <c r="M85" s="211"/>
      <c r="N85" s="211"/>
      <c r="O85" s="128"/>
      <c r="P85" s="533"/>
      <c r="Q85" s="186"/>
      <c r="R85" s="137"/>
      <c r="S85" s="137"/>
      <c r="T85" s="186"/>
      <c r="U85" s="128"/>
    </row>
    <row r="86" spans="1:26" ht="21" customHeight="1" x14ac:dyDescent="0.3">
      <c r="A86" s="183" t="s">
        <v>80</v>
      </c>
      <c r="B86" s="138">
        <f>IF(A86="X",COUNTIF($A$1:A86,"X"),"")</f>
        <v>33</v>
      </c>
      <c r="C86" s="539"/>
      <c r="D86" s="128"/>
      <c r="E86" s="553"/>
      <c r="F86" s="561"/>
      <c r="G86" s="199" t="s">
        <v>112</v>
      </c>
      <c r="H86" s="248">
        <v>40</v>
      </c>
      <c r="I86" s="248">
        <v>50</v>
      </c>
      <c r="J86" s="248">
        <v>180</v>
      </c>
      <c r="K86" s="248">
        <v>400</v>
      </c>
      <c r="L86" s="211"/>
      <c r="M86" s="211"/>
      <c r="N86" s="211"/>
      <c r="O86" s="128"/>
      <c r="P86" s="534"/>
      <c r="Q86" s="186"/>
      <c r="R86" s="137"/>
      <c r="S86" s="137"/>
      <c r="T86" s="186"/>
      <c r="U86" s="128"/>
    </row>
    <row r="87" spans="1:26" ht="15" customHeight="1" x14ac:dyDescent="0.3">
      <c r="A87" s="183"/>
      <c r="B87" s="138" t="str">
        <f>IF(A87="X",COUNTIF($A$1:A87,"X"),"")</f>
        <v/>
      </c>
      <c r="C87" s="539"/>
      <c r="D87" s="128"/>
      <c r="E87" s="553"/>
      <c r="F87" s="128"/>
      <c r="G87" s="128"/>
      <c r="H87" s="211"/>
      <c r="I87" s="211"/>
      <c r="J87" s="211"/>
      <c r="K87" s="211"/>
      <c r="L87" s="211"/>
      <c r="M87" s="211"/>
      <c r="N87" s="211"/>
      <c r="O87" s="128"/>
      <c r="P87" s="185"/>
      <c r="Q87" s="186"/>
      <c r="R87" s="137"/>
      <c r="S87" s="137"/>
      <c r="T87" s="186"/>
      <c r="U87" s="128"/>
      <c r="Z87" s="249"/>
    </row>
    <row r="88" spans="1:26" ht="15.75" customHeight="1" x14ac:dyDescent="0.3">
      <c r="A88" s="183"/>
      <c r="B88" s="138" t="str">
        <f>IF(A88="X",COUNTIF($A$1:A88,"X"),"")</f>
        <v/>
      </c>
      <c r="C88" s="539"/>
      <c r="D88" s="128"/>
      <c r="E88" s="553"/>
      <c r="F88" s="518" t="s">
        <v>117</v>
      </c>
      <c r="G88" s="545"/>
      <c r="H88" s="545"/>
      <c r="I88" s="545"/>
      <c r="J88" s="519"/>
      <c r="K88" s="128"/>
      <c r="L88" s="128"/>
      <c r="M88" s="128"/>
      <c r="N88" s="128"/>
      <c r="O88" s="128"/>
      <c r="P88" s="185"/>
      <c r="Q88" s="186"/>
      <c r="R88" s="137"/>
      <c r="S88" s="137"/>
      <c r="T88" s="186"/>
      <c r="U88" s="128"/>
    </row>
    <row r="89" spans="1:26" ht="30" customHeight="1" x14ac:dyDescent="0.3">
      <c r="A89" s="183" t="s">
        <v>80</v>
      </c>
      <c r="B89" s="138">
        <f>IF(A89="X",COUNTIF($A$1:A89,"X"),"")</f>
        <v>34</v>
      </c>
      <c r="C89" s="539"/>
      <c r="D89" s="128"/>
      <c r="E89" s="553"/>
      <c r="F89" s="542" t="s">
        <v>116</v>
      </c>
      <c r="G89" s="543"/>
      <c r="H89" s="543"/>
      <c r="I89" s="544"/>
      <c r="J89" s="197">
        <v>110</v>
      </c>
      <c r="K89" s="128"/>
      <c r="L89" s="128"/>
      <c r="M89" s="128"/>
      <c r="N89" s="128"/>
      <c r="O89" s="128"/>
      <c r="P89" s="195" t="s">
        <v>244</v>
      </c>
      <c r="Q89" s="186"/>
      <c r="R89" s="137"/>
      <c r="S89" s="137"/>
      <c r="T89" s="186"/>
      <c r="U89" s="128"/>
    </row>
    <row r="90" spans="1:26" ht="15" customHeight="1" x14ac:dyDescent="0.3">
      <c r="A90" s="183"/>
      <c r="B90" s="138" t="str">
        <f>IF(A90="X",COUNTIF($A$1:A90,"X"),"")</f>
        <v/>
      </c>
      <c r="C90" s="539"/>
      <c r="D90" s="128"/>
      <c r="E90" s="553"/>
      <c r="F90" s="137"/>
      <c r="G90" s="137"/>
      <c r="H90" s="137"/>
      <c r="I90" s="137"/>
      <c r="J90" s="128"/>
      <c r="K90" s="128"/>
      <c r="L90" s="128"/>
      <c r="M90" s="128"/>
      <c r="N90" s="128"/>
      <c r="O90" s="128"/>
      <c r="P90" s="185"/>
      <c r="Q90" s="186"/>
      <c r="R90" s="137"/>
      <c r="S90" s="137"/>
      <c r="T90" s="186"/>
      <c r="U90" s="128"/>
    </row>
    <row r="91" spans="1:26" ht="15.75" customHeight="1" x14ac:dyDescent="0.3">
      <c r="A91" s="183"/>
      <c r="B91" s="138" t="str">
        <f>IF(A91="X",COUNTIF($A$1:A91,"X"),"")</f>
        <v/>
      </c>
      <c r="C91" s="539"/>
      <c r="D91" s="128"/>
      <c r="E91" s="553"/>
      <c r="F91" s="518" t="s">
        <v>118</v>
      </c>
      <c r="G91" s="545"/>
      <c r="H91" s="545"/>
      <c r="I91" s="545"/>
      <c r="J91" s="519"/>
      <c r="K91" s="128"/>
      <c r="L91" s="128"/>
      <c r="M91" s="128"/>
      <c r="N91" s="128"/>
      <c r="O91" s="128"/>
      <c r="P91" s="185"/>
      <c r="Q91" s="186"/>
      <c r="R91" s="137"/>
      <c r="S91" s="137"/>
      <c r="T91" s="186"/>
      <c r="U91" s="128"/>
    </row>
    <row r="92" spans="1:26" ht="30" customHeight="1" x14ac:dyDescent="0.3">
      <c r="A92" s="183" t="s">
        <v>80</v>
      </c>
      <c r="B92" s="138">
        <f>IF(A92="X",COUNTIF($A$1:A92,"X"),"")</f>
        <v>35</v>
      </c>
      <c r="C92" s="539"/>
      <c r="D92" s="128"/>
      <c r="E92" s="553"/>
      <c r="F92" s="541" t="s">
        <v>120</v>
      </c>
      <c r="G92" s="541"/>
      <c r="H92" s="541"/>
      <c r="I92" s="541"/>
      <c r="J92" s="197">
        <v>160</v>
      </c>
      <c r="K92" s="128"/>
      <c r="L92" s="128"/>
      <c r="M92" s="128"/>
      <c r="N92" s="128"/>
      <c r="O92" s="128"/>
      <c r="P92" s="195" t="s">
        <v>245</v>
      </c>
      <c r="Q92" s="186"/>
      <c r="R92" s="137"/>
      <c r="S92" s="137"/>
      <c r="T92" s="186"/>
      <c r="U92" s="128"/>
    </row>
    <row r="93" spans="1:26" ht="30" customHeight="1" x14ac:dyDescent="0.3">
      <c r="A93" s="183" t="s">
        <v>80</v>
      </c>
      <c r="B93" s="138">
        <f>IF(A93="X",COUNTIF($A$1:A93,"X"),"")</f>
        <v>36</v>
      </c>
      <c r="C93" s="539"/>
      <c r="D93" s="128"/>
      <c r="E93" s="553"/>
      <c r="F93" s="541" t="s">
        <v>119</v>
      </c>
      <c r="G93" s="541"/>
      <c r="H93" s="541"/>
      <c r="I93" s="541"/>
      <c r="J93" s="197">
        <v>10900</v>
      </c>
      <c r="K93" s="128"/>
      <c r="L93" s="128"/>
      <c r="M93" s="128"/>
      <c r="N93" s="128"/>
      <c r="O93" s="128"/>
      <c r="P93" s="195" t="s">
        <v>245</v>
      </c>
      <c r="Q93" s="186"/>
      <c r="R93" s="137"/>
      <c r="S93" s="137"/>
      <c r="T93" s="186"/>
      <c r="U93" s="128"/>
    </row>
    <row r="94" spans="1:26" ht="15" customHeight="1" x14ac:dyDescent="0.3">
      <c r="A94" s="183"/>
      <c r="B94" s="138" t="str">
        <f>IF(A94="X",COUNTIF($A$1:A94,"X"),"")</f>
        <v/>
      </c>
      <c r="C94" s="539"/>
      <c r="D94" s="128"/>
      <c r="E94" s="553"/>
      <c r="F94" s="137"/>
      <c r="G94" s="137"/>
      <c r="H94" s="137"/>
      <c r="I94" s="137"/>
      <c r="J94" s="128"/>
      <c r="K94" s="128"/>
      <c r="L94" s="128"/>
      <c r="M94" s="128"/>
      <c r="N94" s="128"/>
      <c r="O94" s="128"/>
      <c r="P94" s="185"/>
      <c r="Q94" s="186"/>
      <c r="R94" s="137"/>
      <c r="S94" s="137"/>
      <c r="T94" s="186"/>
      <c r="U94" s="128"/>
    </row>
    <row r="95" spans="1:26" ht="15.75" customHeight="1" x14ac:dyDescent="0.3">
      <c r="A95" s="183"/>
      <c r="B95" s="138" t="str">
        <f>IF(A95="X",COUNTIF($A$1:A95,"X"),"")</f>
        <v/>
      </c>
      <c r="C95" s="539"/>
      <c r="D95" s="128"/>
      <c r="E95" s="553"/>
      <c r="F95" s="518" t="s">
        <v>122</v>
      </c>
      <c r="G95" s="545"/>
      <c r="H95" s="545"/>
      <c r="I95" s="545"/>
      <c r="J95" s="519"/>
      <c r="K95" s="128"/>
      <c r="L95" s="128"/>
      <c r="M95" s="128"/>
      <c r="N95" s="128"/>
      <c r="O95" s="128"/>
      <c r="P95" s="185"/>
      <c r="Q95" s="186"/>
      <c r="R95" s="137"/>
      <c r="S95" s="137"/>
      <c r="T95" s="186"/>
      <c r="U95" s="128"/>
    </row>
    <row r="96" spans="1:26" ht="30" customHeight="1" x14ac:dyDescent="0.3">
      <c r="A96" s="183" t="s">
        <v>80</v>
      </c>
      <c r="B96" s="138">
        <f>IF(A96="X",COUNTIF($A$1:A96,"X"),"")</f>
        <v>37</v>
      </c>
      <c r="C96" s="539"/>
      <c r="D96" s="128"/>
      <c r="E96" s="553"/>
      <c r="F96" s="541" t="s">
        <v>123</v>
      </c>
      <c r="G96" s="541"/>
      <c r="H96" s="541"/>
      <c r="I96" s="541"/>
      <c r="J96" s="250">
        <v>0.4375</v>
      </c>
      <c r="K96" s="128"/>
      <c r="L96" s="128"/>
      <c r="M96" s="128"/>
      <c r="N96" s="128"/>
      <c r="O96" s="128"/>
      <c r="P96" s="195" t="s">
        <v>246</v>
      </c>
      <c r="Q96" s="186"/>
      <c r="R96" s="137"/>
      <c r="S96" s="137"/>
      <c r="T96" s="186"/>
      <c r="U96" s="128"/>
    </row>
    <row r="97" spans="1:26" ht="15" customHeight="1" x14ac:dyDescent="0.3">
      <c r="A97" s="183"/>
      <c r="B97" s="138" t="str">
        <f>IF(A97="X",COUNTIF($A$1:A97,"X"),"")</f>
        <v/>
      </c>
      <c r="C97" s="539"/>
      <c r="D97" s="128"/>
      <c r="E97" s="553"/>
      <c r="F97" s="137"/>
      <c r="G97" s="137"/>
      <c r="H97" s="137"/>
      <c r="I97" s="137"/>
      <c r="J97" s="128"/>
      <c r="K97" s="128"/>
      <c r="L97" s="128"/>
      <c r="M97" s="128"/>
      <c r="N97" s="128"/>
      <c r="O97" s="128"/>
      <c r="P97" s="185"/>
      <c r="Q97" s="186"/>
      <c r="R97" s="137"/>
      <c r="S97" s="137"/>
      <c r="T97" s="186"/>
      <c r="U97" s="128"/>
    </row>
    <row r="98" spans="1:26" ht="15.75" customHeight="1" x14ac:dyDescent="0.3">
      <c r="A98" s="183"/>
      <c r="B98" s="138" t="str">
        <f>IF(A98="X",COUNTIF($A$1:A98,"X"),"")</f>
        <v/>
      </c>
      <c r="C98" s="539"/>
      <c r="D98" s="128"/>
      <c r="E98" s="553"/>
      <c r="F98" s="518" t="s">
        <v>124</v>
      </c>
      <c r="G98" s="545"/>
      <c r="H98" s="545"/>
      <c r="I98" s="545"/>
      <c r="J98" s="519"/>
      <c r="K98" s="128"/>
      <c r="L98" s="128"/>
      <c r="M98" s="128"/>
      <c r="N98" s="128"/>
      <c r="O98" s="128"/>
      <c r="P98" s="185"/>
      <c r="Q98" s="186"/>
      <c r="R98" s="137"/>
      <c r="S98" s="137"/>
      <c r="T98" s="186"/>
      <c r="U98" s="128"/>
    </row>
    <row r="99" spans="1:26" ht="30" customHeight="1" x14ac:dyDescent="0.3">
      <c r="A99" s="183" t="s">
        <v>80</v>
      </c>
      <c r="B99" s="138">
        <f>IF(A99="X",COUNTIF($A$1:A99,"X"),"")</f>
        <v>38</v>
      </c>
      <c r="C99" s="539"/>
      <c r="D99" s="128"/>
      <c r="E99" s="553"/>
      <c r="F99" s="541" t="s">
        <v>125</v>
      </c>
      <c r="G99" s="541"/>
      <c r="H99" s="541"/>
      <c r="I99" s="541"/>
      <c r="J99" s="197">
        <v>132</v>
      </c>
      <c r="K99" s="128"/>
      <c r="L99" s="128"/>
      <c r="M99" s="128"/>
      <c r="N99" s="128"/>
      <c r="O99" s="128"/>
      <c r="P99" s="195" t="s">
        <v>244</v>
      </c>
      <c r="Q99" s="186"/>
      <c r="R99" s="137"/>
      <c r="S99" s="137"/>
      <c r="T99" s="186"/>
      <c r="U99" s="128"/>
    </row>
    <row r="100" spans="1:26" x14ac:dyDescent="0.3">
      <c r="A100" s="183"/>
      <c r="B100" s="138" t="str">
        <f>IF(A100="X",COUNTIF($A$1:A100,"X"),"")</f>
        <v/>
      </c>
      <c r="C100" s="539"/>
      <c r="D100" s="128"/>
      <c r="E100" s="128"/>
      <c r="F100" s="128"/>
      <c r="G100" s="128"/>
      <c r="H100" s="211"/>
      <c r="I100" s="211"/>
      <c r="J100" s="211"/>
      <c r="K100" s="211"/>
      <c r="L100" s="211"/>
      <c r="M100" s="211"/>
      <c r="N100" s="211"/>
      <c r="O100" s="128"/>
      <c r="P100" s="185"/>
      <c r="Q100" s="186"/>
      <c r="R100" s="137"/>
      <c r="S100" s="137"/>
      <c r="T100" s="186"/>
      <c r="U100" s="128"/>
      <c r="Z100" s="212"/>
    </row>
    <row r="101" spans="1:26" ht="45" customHeight="1" x14ac:dyDescent="0.3">
      <c r="A101" s="183" t="s">
        <v>80</v>
      </c>
      <c r="B101" s="138">
        <f>IF(A101="X",COUNTIF($A$1:A101,"X"),"")</f>
        <v>39</v>
      </c>
      <c r="C101" s="539"/>
      <c r="D101" s="128"/>
      <c r="E101" s="552" t="s">
        <v>170</v>
      </c>
      <c r="F101" s="541" t="s">
        <v>160</v>
      </c>
      <c r="G101" s="541"/>
      <c r="H101" s="541"/>
      <c r="I101" s="541"/>
      <c r="J101" s="251">
        <v>0.2</v>
      </c>
      <c r="K101" s="211"/>
      <c r="L101" s="211"/>
      <c r="M101" s="211"/>
      <c r="N101" s="211"/>
      <c r="O101" s="128"/>
      <c r="P101" s="195" t="s">
        <v>247</v>
      </c>
      <c r="Q101" s="186"/>
      <c r="R101" s="137"/>
      <c r="S101" s="137"/>
      <c r="T101" s="186"/>
      <c r="U101" s="128"/>
      <c r="Z101" s="212"/>
    </row>
    <row r="102" spans="1:26" ht="45" customHeight="1" x14ac:dyDescent="0.3">
      <c r="A102" s="183" t="s">
        <v>80</v>
      </c>
      <c r="B102" s="138">
        <f>IF(A102="X",COUNTIF($A$1:A102,"X"),"")</f>
        <v>40</v>
      </c>
      <c r="C102" s="539"/>
      <c r="D102" s="128"/>
      <c r="E102" s="553"/>
      <c r="F102" s="541" t="s">
        <v>161</v>
      </c>
      <c r="G102" s="541"/>
      <c r="H102" s="541"/>
      <c r="I102" s="541"/>
      <c r="J102" s="197">
        <v>3</v>
      </c>
      <c r="K102" s="211"/>
      <c r="L102" s="211"/>
      <c r="M102" s="211"/>
      <c r="N102" s="211"/>
      <c r="O102" s="128"/>
      <c r="P102" s="195" t="s">
        <v>248</v>
      </c>
      <c r="Q102" s="186"/>
      <c r="R102" s="137"/>
      <c r="S102" s="137"/>
      <c r="T102" s="186"/>
      <c r="U102" s="128"/>
      <c r="Z102" s="212"/>
    </row>
    <row r="103" spans="1:26" ht="75" customHeight="1" x14ac:dyDescent="0.3">
      <c r="A103" s="183" t="s">
        <v>80</v>
      </c>
      <c r="B103" s="138">
        <f>IF(A103="X",COUNTIF($A$1:A103,"X"),"")</f>
        <v>41</v>
      </c>
      <c r="C103" s="539"/>
      <c r="D103" s="128"/>
      <c r="E103" s="553"/>
      <c r="F103" s="541" t="s">
        <v>162</v>
      </c>
      <c r="G103" s="541"/>
      <c r="H103" s="541"/>
      <c r="I103" s="541"/>
      <c r="J103" s="197">
        <v>5</v>
      </c>
      <c r="K103" s="211"/>
      <c r="L103" s="211"/>
      <c r="M103" s="211"/>
      <c r="N103" s="211"/>
      <c r="O103" s="128"/>
      <c r="P103" s="195" t="s">
        <v>249</v>
      </c>
      <c r="Q103" s="186"/>
      <c r="R103" s="137"/>
      <c r="S103" s="137"/>
      <c r="T103" s="186"/>
      <c r="U103" s="128"/>
      <c r="Z103" s="212"/>
    </row>
    <row r="104" spans="1:26" ht="30" customHeight="1" x14ac:dyDescent="0.3">
      <c r="A104" s="183" t="s">
        <v>80</v>
      </c>
      <c r="B104" s="138">
        <f>IF(A104="X",COUNTIF($A$1:A104,"X"),"")</f>
        <v>42</v>
      </c>
      <c r="C104" s="539"/>
      <c r="D104" s="128"/>
      <c r="E104" s="553"/>
      <c r="F104" s="541" t="s">
        <v>163</v>
      </c>
      <c r="G104" s="541"/>
      <c r="H104" s="541"/>
      <c r="I104" s="541"/>
      <c r="J104" s="252">
        <v>38.29</v>
      </c>
      <c r="K104" s="211"/>
      <c r="L104" s="211"/>
      <c r="M104" s="211"/>
      <c r="N104" s="211"/>
      <c r="O104" s="128"/>
      <c r="P104" s="195" t="s">
        <v>250</v>
      </c>
      <c r="Q104" s="186"/>
      <c r="R104" s="137"/>
      <c r="S104" s="137"/>
      <c r="T104" s="186"/>
      <c r="U104" s="128"/>
      <c r="Z104" s="212"/>
    </row>
    <row r="105" spans="1:26" ht="30" customHeight="1" x14ac:dyDescent="0.3">
      <c r="A105" s="183" t="s">
        <v>80</v>
      </c>
      <c r="B105" s="138">
        <f>IF(A105="X",COUNTIF($A$1:A105,"X"),"")</f>
        <v>43</v>
      </c>
      <c r="C105" s="539"/>
      <c r="D105" s="128"/>
      <c r="E105" s="553"/>
      <c r="F105" s="541" t="s">
        <v>164</v>
      </c>
      <c r="G105" s="541"/>
      <c r="H105" s="541"/>
      <c r="I105" s="541"/>
      <c r="J105" s="252">
        <v>25.66</v>
      </c>
      <c r="K105" s="211"/>
      <c r="L105" s="211"/>
      <c r="M105" s="211"/>
      <c r="N105" s="211"/>
      <c r="O105" s="128"/>
      <c r="P105" s="195" t="s">
        <v>251</v>
      </c>
      <c r="Q105" s="186"/>
      <c r="R105" s="137"/>
      <c r="S105" s="137"/>
      <c r="T105" s="186"/>
      <c r="U105" s="128"/>
      <c r="Z105" s="212"/>
    </row>
    <row r="106" spans="1:26" ht="30" customHeight="1" x14ac:dyDescent="0.3">
      <c r="A106" s="183" t="s">
        <v>80</v>
      </c>
      <c r="B106" s="138">
        <f>IF(A106="X",COUNTIF($A$1:A106,"X"),"")</f>
        <v>44</v>
      </c>
      <c r="C106" s="539"/>
      <c r="D106" s="128"/>
      <c r="E106" s="553"/>
      <c r="F106" s="541" t="s">
        <v>165</v>
      </c>
      <c r="G106" s="541"/>
      <c r="H106" s="541"/>
      <c r="I106" s="541"/>
      <c r="J106" s="253">
        <v>2.0119300799999998E-4</v>
      </c>
      <c r="K106" s="211"/>
      <c r="L106" s="211"/>
      <c r="M106" s="211"/>
      <c r="N106" s="211"/>
      <c r="O106" s="128"/>
      <c r="P106" s="195" t="s">
        <v>252</v>
      </c>
      <c r="Q106" s="186"/>
      <c r="R106" s="137"/>
      <c r="S106" s="137"/>
      <c r="T106" s="186"/>
      <c r="U106" s="128"/>
      <c r="Z106" s="212"/>
    </row>
    <row r="107" spans="1:26" ht="30" customHeight="1" x14ac:dyDescent="0.3">
      <c r="A107" s="183" t="s">
        <v>80</v>
      </c>
      <c r="B107" s="138">
        <f>IF(A107="X",COUNTIF($A$1:A107,"X"),"")</f>
        <v>45</v>
      </c>
      <c r="C107" s="539"/>
      <c r="D107" s="128"/>
      <c r="E107" s="553"/>
      <c r="F107" s="541" t="s">
        <v>166</v>
      </c>
      <c r="G107" s="541"/>
      <c r="H107" s="541"/>
      <c r="I107" s="541"/>
      <c r="J107" s="252">
        <v>0.84</v>
      </c>
      <c r="K107" s="211"/>
      <c r="L107" s="211"/>
      <c r="M107" s="211"/>
      <c r="N107" s="211"/>
      <c r="O107" s="128"/>
      <c r="P107" s="195" t="s">
        <v>253</v>
      </c>
      <c r="Q107" s="186"/>
      <c r="R107" s="137"/>
      <c r="S107" s="137"/>
      <c r="T107" s="186"/>
      <c r="U107" s="128"/>
      <c r="Z107" s="212"/>
    </row>
    <row r="108" spans="1:26" ht="30" customHeight="1" x14ac:dyDescent="0.3">
      <c r="A108" s="183" t="s">
        <v>80</v>
      </c>
      <c r="B108" s="138">
        <f>IF(A108="X",COUNTIF($A$1:A108,"X"),"")</f>
        <v>46</v>
      </c>
      <c r="C108" s="539"/>
      <c r="D108" s="128"/>
      <c r="E108" s="553"/>
      <c r="F108" s="541" t="s">
        <v>167</v>
      </c>
      <c r="G108" s="541"/>
      <c r="H108" s="541"/>
      <c r="I108" s="541"/>
      <c r="J108" s="254">
        <v>1.202</v>
      </c>
      <c r="K108" s="211"/>
      <c r="L108" s="211"/>
      <c r="M108" s="211"/>
      <c r="N108" s="211"/>
      <c r="O108" s="128"/>
      <c r="P108" s="195" t="s">
        <v>254</v>
      </c>
      <c r="Q108" s="186"/>
      <c r="R108" s="137"/>
      <c r="S108" s="137"/>
      <c r="T108" s="186"/>
      <c r="U108" s="128"/>
      <c r="Z108" s="212"/>
    </row>
    <row r="109" spans="1:26" ht="30" customHeight="1" x14ac:dyDescent="0.3">
      <c r="A109" s="183" t="s">
        <v>80</v>
      </c>
      <c r="B109" s="138">
        <f>IF(A109="X",COUNTIF($A$1:A109,"X"),"")</f>
        <v>47</v>
      </c>
      <c r="C109" s="539"/>
      <c r="D109" s="128"/>
      <c r="E109" s="553"/>
      <c r="F109" s="541" t="s">
        <v>223</v>
      </c>
      <c r="G109" s="541"/>
      <c r="H109" s="541"/>
      <c r="I109" s="541"/>
      <c r="J109" s="197">
        <v>2900</v>
      </c>
      <c r="K109" s="211"/>
      <c r="L109" s="211"/>
      <c r="M109" s="211"/>
      <c r="N109" s="211"/>
      <c r="O109" s="128"/>
      <c r="P109" s="195" t="s">
        <v>255</v>
      </c>
      <c r="Q109" s="186"/>
      <c r="R109" s="137"/>
      <c r="S109" s="137"/>
      <c r="T109" s="186"/>
      <c r="U109" s="128"/>
      <c r="Z109" s="212"/>
    </row>
    <row r="110" spans="1:26" ht="30" customHeight="1" x14ac:dyDescent="0.3">
      <c r="A110" s="183" t="s">
        <v>80</v>
      </c>
      <c r="B110" s="138">
        <f>IF(A110="X",COUNTIF($A$1:A110,"X"),"")</f>
        <v>48</v>
      </c>
      <c r="C110" s="539"/>
      <c r="D110" s="128"/>
      <c r="E110" s="553"/>
      <c r="F110" s="541" t="s">
        <v>224</v>
      </c>
      <c r="G110" s="541"/>
      <c r="H110" s="541"/>
      <c r="I110" s="541"/>
      <c r="J110" s="197">
        <v>750</v>
      </c>
      <c r="K110" s="211"/>
      <c r="L110" s="211"/>
      <c r="M110" s="211"/>
      <c r="N110" s="211"/>
      <c r="O110" s="128"/>
      <c r="P110" s="195" t="s">
        <v>255</v>
      </c>
      <c r="Q110" s="186"/>
      <c r="R110" s="137"/>
      <c r="S110" s="137"/>
      <c r="T110" s="186"/>
      <c r="U110" s="128"/>
      <c r="Z110" s="212"/>
    </row>
    <row r="111" spans="1:26" ht="30" customHeight="1" x14ac:dyDescent="0.3">
      <c r="A111" s="183" t="s">
        <v>80</v>
      </c>
      <c r="B111" s="138">
        <f>IF(A111="X",COUNTIF($A$1:A111,"X"),"")</f>
        <v>49</v>
      </c>
      <c r="C111" s="539"/>
      <c r="D111" s="128"/>
      <c r="E111" s="553"/>
      <c r="F111" s="542" t="s">
        <v>225</v>
      </c>
      <c r="G111" s="543"/>
      <c r="H111" s="543"/>
      <c r="I111" s="544"/>
      <c r="J111" s="197">
        <v>9240</v>
      </c>
      <c r="K111" s="211"/>
      <c r="L111" s="211"/>
      <c r="M111" s="211"/>
      <c r="N111" s="211"/>
      <c r="O111" s="128"/>
      <c r="P111" s="195" t="s">
        <v>255</v>
      </c>
      <c r="Q111" s="186"/>
      <c r="R111" s="137"/>
      <c r="S111" s="137"/>
      <c r="T111" s="186"/>
      <c r="U111" s="128"/>
      <c r="Z111" s="212"/>
    </row>
    <row r="112" spans="1:26" ht="30" customHeight="1" x14ac:dyDescent="0.3">
      <c r="A112" s="183" t="s">
        <v>80</v>
      </c>
      <c r="B112" s="138">
        <f>IF(A112="X",COUNTIF($A$1:A112,"X"),"")</f>
        <v>50</v>
      </c>
      <c r="C112" s="539"/>
      <c r="D112" s="128"/>
      <c r="E112" s="553"/>
      <c r="F112" s="541" t="s">
        <v>226</v>
      </c>
      <c r="G112" s="541"/>
      <c r="H112" s="541"/>
      <c r="I112" s="541"/>
      <c r="J112" s="253">
        <v>0.48525351</v>
      </c>
      <c r="K112" s="211"/>
      <c r="L112" s="211"/>
      <c r="M112" s="211"/>
      <c r="N112" s="211"/>
      <c r="O112" s="128"/>
      <c r="P112" s="195" t="s">
        <v>256</v>
      </c>
      <c r="Q112" s="186"/>
      <c r="R112" s="137"/>
      <c r="S112" s="137"/>
      <c r="T112" s="186"/>
      <c r="U112" s="128"/>
      <c r="Z112" s="212"/>
    </row>
    <row r="113" spans="1:26" ht="30" customHeight="1" x14ac:dyDescent="0.3">
      <c r="A113" s="183" t="s">
        <v>80</v>
      </c>
      <c r="B113" s="138">
        <f>IF(A113="X",COUNTIF($A$1:A113,"X"),"")</f>
        <v>51</v>
      </c>
      <c r="C113" s="539"/>
      <c r="D113" s="128"/>
      <c r="E113" s="553"/>
      <c r="F113" s="541" t="s">
        <v>227</v>
      </c>
      <c r="G113" s="541"/>
      <c r="H113" s="541"/>
      <c r="I113" s="541"/>
      <c r="J113" s="253">
        <v>8.2591849999999994E-2</v>
      </c>
      <c r="K113" s="211"/>
      <c r="L113" s="211"/>
      <c r="M113" s="211"/>
      <c r="N113" s="211"/>
      <c r="O113" s="128"/>
      <c r="P113" s="195" t="s">
        <v>256</v>
      </c>
      <c r="Q113" s="186"/>
      <c r="R113" s="137"/>
      <c r="S113" s="137"/>
      <c r="T113" s="186"/>
      <c r="U113" s="128"/>
      <c r="Z113" s="212"/>
    </row>
    <row r="114" spans="1:26" ht="30" customHeight="1" x14ac:dyDescent="0.3">
      <c r="A114" s="183" t="s">
        <v>80</v>
      </c>
      <c r="B114" s="138">
        <f>IF(A114="X",COUNTIF($A$1:A114,"X"),"")</f>
        <v>52</v>
      </c>
      <c r="C114" s="539"/>
      <c r="D114" s="128"/>
      <c r="E114" s="553"/>
      <c r="F114" s="541" t="s">
        <v>228</v>
      </c>
      <c r="G114" s="541"/>
      <c r="H114" s="541"/>
      <c r="I114" s="541"/>
      <c r="J114" s="253">
        <v>3.2190880000000002E-3</v>
      </c>
      <c r="K114" s="211"/>
      <c r="L114" s="211"/>
      <c r="M114" s="211"/>
      <c r="N114" s="211"/>
      <c r="O114" s="128"/>
      <c r="P114" s="195" t="s">
        <v>256</v>
      </c>
      <c r="Q114" s="186"/>
      <c r="R114" s="137"/>
      <c r="S114" s="137"/>
      <c r="T114" s="186"/>
      <c r="U114" s="128"/>
      <c r="Z114" s="212"/>
    </row>
    <row r="115" spans="1:26" ht="30" customHeight="1" x14ac:dyDescent="0.3">
      <c r="A115" s="183" t="s">
        <v>80</v>
      </c>
      <c r="B115" s="138">
        <f>IF(A115="X",COUNTIF($A$1:A115,"X"),"")</f>
        <v>53</v>
      </c>
      <c r="C115" s="539"/>
      <c r="D115" s="128"/>
      <c r="E115" s="553"/>
      <c r="F115" s="541" t="s">
        <v>229</v>
      </c>
      <c r="G115" s="541"/>
      <c r="H115" s="541"/>
      <c r="I115" s="541"/>
      <c r="J115" s="254">
        <v>3.0000000000000001E-3</v>
      </c>
      <c r="K115" s="211"/>
      <c r="L115" s="211"/>
      <c r="M115" s="211"/>
      <c r="N115" s="211"/>
      <c r="O115" s="128"/>
      <c r="P115" s="195" t="s">
        <v>256</v>
      </c>
      <c r="Q115" s="186"/>
      <c r="R115" s="137"/>
      <c r="S115" s="137"/>
      <c r="T115" s="186"/>
      <c r="U115" s="128"/>
      <c r="Z115" s="212"/>
    </row>
    <row r="116" spans="1:26" ht="30" customHeight="1" x14ac:dyDescent="0.3">
      <c r="A116" s="183" t="s">
        <v>80</v>
      </c>
      <c r="B116" s="138">
        <f>IF(A116="X",COUNTIF($A$1:A116,"X"),"")</f>
        <v>54</v>
      </c>
      <c r="C116" s="539"/>
      <c r="D116" s="128"/>
      <c r="E116" s="553"/>
      <c r="F116" s="541" t="s">
        <v>168</v>
      </c>
      <c r="G116" s="541"/>
      <c r="H116" s="541"/>
      <c r="I116" s="541"/>
      <c r="J116" s="253">
        <v>8.6406360000000001E-3</v>
      </c>
      <c r="K116" s="211"/>
      <c r="L116" s="211"/>
      <c r="M116" s="211"/>
      <c r="N116" s="211"/>
      <c r="O116" s="128"/>
      <c r="P116" s="195" t="s">
        <v>256</v>
      </c>
      <c r="Q116" s="186"/>
      <c r="R116" s="137"/>
      <c r="S116" s="137"/>
      <c r="T116" s="186"/>
      <c r="U116" s="128"/>
      <c r="Z116" s="212"/>
    </row>
    <row r="117" spans="1:26" ht="45" customHeight="1" x14ac:dyDescent="0.3">
      <c r="A117" s="183" t="s">
        <v>80</v>
      </c>
      <c r="B117" s="138">
        <f>IF(A117="X",COUNTIF($A$1:A117,"X"),"")</f>
        <v>55</v>
      </c>
      <c r="C117" s="539"/>
      <c r="D117" s="128"/>
      <c r="E117" s="553"/>
      <c r="F117" s="541" t="s">
        <v>169</v>
      </c>
      <c r="G117" s="541"/>
      <c r="H117" s="541"/>
      <c r="I117" s="541"/>
      <c r="J117" s="252">
        <v>47.96</v>
      </c>
      <c r="K117" s="211"/>
      <c r="L117" s="211"/>
      <c r="M117" s="211"/>
      <c r="N117" s="211"/>
      <c r="O117" s="128"/>
      <c r="P117" s="195" t="s">
        <v>257</v>
      </c>
      <c r="Q117" s="186"/>
      <c r="R117" s="137"/>
      <c r="S117" s="137"/>
      <c r="T117" s="186"/>
      <c r="U117" s="128"/>
      <c r="Z117" s="212"/>
    </row>
    <row r="118" spans="1:26" ht="30" customHeight="1" x14ac:dyDescent="0.3">
      <c r="A118" s="183" t="s">
        <v>80</v>
      </c>
      <c r="B118" s="138">
        <f>IF(A118="X",COUNTIF($A$1:A118,"X"),"")</f>
        <v>56</v>
      </c>
      <c r="C118" s="539"/>
      <c r="D118" s="128"/>
      <c r="E118" s="553"/>
      <c r="F118" s="541" t="s">
        <v>230</v>
      </c>
      <c r="G118" s="541"/>
      <c r="H118" s="541"/>
      <c r="I118" s="541"/>
      <c r="J118" s="255">
        <v>545.56326100000001</v>
      </c>
      <c r="K118" s="211"/>
      <c r="L118" s="211"/>
      <c r="M118" s="211"/>
      <c r="N118" s="211"/>
      <c r="O118" s="128"/>
      <c r="P118" s="195" t="s">
        <v>258</v>
      </c>
      <c r="Q118" s="186"/>
      <c r="R118" s="137"/>
      <c r="S118" s="137"/>
      <c r="T118" s="186"/>
      <c r="U118" s="128"/>
      <c r="Z118" s="212"/>
    </row>
    <row r="119" spans="1:26" ht="30" customHeight="1" x14ac:dyDescent="0.3">
      <c r="A119" s="183" t="s">
        <v>80</v>
      </c>
      <c r="B119" s="138">
        <f>IF(A119="X",COUNTIF($A$1:A119,"X"),"")</f>
        <v>57</v>
      </c>
      <c r="C119" s="539"/>
      <c r="D119" s="128"/>
      <c r="E119" s="553"/>
      <c r="F119" s="541" t="s">
        <v>231</v>
      </c>
      <c r="G119" s="541"/>
      <c r="H119" s="541"/>
      <c r="I119" s="541"/>
      <c r="J119" s="197">
        <v>128</v>
      </c>
      <c r="K119" s="211"/>
      <c r="L119" s="211"/>
      <c r="M119" s="211"/>
      <c r="N119" s="211"/>
      <c r="O119" s="128"/>
      <c r="P119" s="195" t="s">
        <v>291</v>
      </c>
      <c r="Q119" s="186"/>
      <c r="R119" s="137"/>
      <c r="S119" s="137"/>
      <c r="T119" s="186"/>
      <c r="U119" s="128"/>
      <c r="Z119" s="212"/>
    </row>
    <row r="120" spans="1:26" x14ac:dyDescent="0.3">
      <c r="A120" s="183"/>
      <c r="B120" s="138" t="str">
        <f>IF(A120="X",COUNTIF($A$1:A120,"X"),"")</f>
        <v/>
      </c>
      <c r="C120" s="539"/>
      <c r="D120" s="128"/>
      <c r="E120" s="128"/>
      <c r="F120" s="128"/>
      <c r="G120" s="128"/>
      <c r="H120" s="211"/>
      <c r="I120" s="211"/>
      <c r="J120" s="211"/>
      <c r="K120" s="211"/>
      <c r="L120" s="211"/>
      <c r="M120" s="211"/>
      <c r="N120" s="211"/>
      <c r="O120" s="128"/>
      <c r="P120" s="185"/>
      <c r="Q120" s="186"/>
      <c r="R120" s="137"/>
      <c r="S120" s="137"/>
      <c r="T120" s="186"/>
      <c r="U120" s="128"/>
      <c r="Z120" s="212"/>
    </row>
    <row r="121" spans="1:26" ht="30" customHeight="1" x14ac:dyDescent="0.3">
      <c r="A121" s="183" t="s">
        <v>80</v>
      </c>
      <c r="B121" s="138">
        <f>IF(A121="X",COUNTIF($A$1:A121,"X"),"")</f>
        <v>58</v>
      </c>
      <c r="C121" s="539"/>
      <c r="D121" s="128"/>
      <c r="E121" s="552" t="s">
        <v>189</v>
      </c>
      <c r="F121" s="542" t="s">
        <v>186</v>
      </c>
      <c r="G121" s="543"/>
      <c r="H121" s="543"/>
      <c r="I121" s="544"/>
      <c r="J121" s="256">
        <v>1.7000000000000001E-2</v>
      </c>
      <c r="K121" s="128"/>
      <c r="L121" s="128"/>
      <c r="M121" s="128"/>
      <c r="N121" s="128"/>
      <c r="O121" s="128"/>
      <c r="P121" s="195" t="s">
        <v>259</v>
      </c>
      <c r="Q121" s="186"/>
      <c r="R121" s="137"/>
      <c r="S121" s="137"/>
      <c r="T121" s="186"/>
      <c r="U121" s="128"/>
    </row>
    <row r="122" spans="1:26" ht="50.4" x14ac:dyDescent="0.3">
      <c r="A122" s="183"/>
      <c r="B122" s="138" t="str">
        <f>IF(A122="X",COUNTIF($A$1:A122,"X"),"")</f>
        <v/>
      </c>
      <c r="C122" s="539"/>
      <c r="D122" s="128"/>
      <c r="E122" s="553"/>
      <c r="F122" s="549" t="s">
        <v>188</v>
      </c>
      <c r="G122" s="257" t="s">
        <v>187</v>
      </c>
      <c r="H122" s="258" t="s">
        <v>196</v>
      </c>
      <c r="I122" s="258" t="s">
        <v>197</v>
      </c>
      <c r="J122" s="259" t="s">
        <v>195</v>
      </c>
      <c r="K122" s="211"/>
      <c r="L122" s="211"/>
      <c r="M122" s="211"/>
      <c r="N122" s="211"/>
      <c r="O122" s="128"/>
      <c r="P122" s="185"/>
      <c r="Q122" s="186"/>
      <c r="R122" s="137"/>
      <c r="S122" s="137"/>
      <c r="T122" s="186"/>
      <c r="U122" s="128"/>
      <c r="Z122" s="212"/>
    </row>
    <row r="123" spans="1:26" x14ac:dyDescent="0.3">
      <c r="A123" s="183" t="s">
        <v>80</v>
      </c>
      <c r="B123" s="138">
        <f>IF(A123="X",COUNTIF($A$1:A123,"X"),"")</f>
        <v>59</v>
      </c>
      <c r="C123" s="539"/>
      <c r="D123" s="128"/>
      <c r="E123" s="553"/>
      <c r="F123" s="550"/>
      <c r="G123" s="221" t="s">
        <v>65</v>
      </c>
      <c r="H123" s="260" t="s">
        <v>264</v>
      </c>
      <c r="I123" s="143">
        <f>IF(Abschreibung[[#This Row],[Abschrei-bungs-zeitraum '[a']]]="∞",MAX(Abschreibung[Abschrei-bungs-zeitraum '[a']]),Abschreibung[[#This Row],[Abschrei-bungs-zeitraum '[a']]])</f>
        <v>80</v>
      </c>
      <c r="J123" s="261">
        <f>IF(Abschreibung[[#This Row],[Abschrei-bungs-zeitraum '[a']]]="∞",0.017,(Parameter!$J$121*(1+Parameter!$J$121)^Abschreibung[[#This Row],[Rechenwert '[a']]])/((1+Parameter!$J$121)^Abschreibung[[#This Row],[Rechenwert '[a']]]-1))</f>
        <v>1.7000000000000001E-2</v>
      </c>
      <c r="K123" s="211"/>
      <c r="L123" s="211"/>
      <c r="M123" s="211"/>
      <c r="N123" s="211"/>
      <c r="O123" s="128"/>
      <c r="P123" s="532" t="s">
        <v>260</v>
      </c>
      <c r="Q123" s="186"/>
      <c r="R123" s="137"/>
      <c r="S123" s="137"/>
      <c r="T123" s="186"/>
      <c r="U123" s="128"/>
      <c r="Z123" s="212"/>
    </row>
    <row r="124" spans="1:26" x14ac:dyDescent="0.3">
      <c r="A124" s="183" t="s">
        <v>80</v>
      </c>
      <c r="B124" s="138">
        <f>IF(A124="X",COUNTIF($A$1:A124,"X"),"")</f>
        <v>60</v>
      </c>
      <c r="C124" s="539"/>
      <c r="D124" s="128"/>
      <c r="E124" s="553"/>
      <c r="F124" s="550"/>
      <c r="G124" s="221" t="s">
        <v>66</v>
      </c>
      <c r="H124" s="260" t="s">
        <v>264</v>
      </c>
      <c r="I124" s="143">
        <f>IF(Abschreibung[[#This Row],[Abschrei-bungs-zeitraum '[a']]]="∞",MAX(Abschreibung[Abschrei-bungs-zeitraum '[a']]),Abschreibung[[#This Row],[Abschrei-bungs-zeitraum '[a']]])</f>
        <v>80</v>
      </c>
      <c r="J124" s="261">
        <f>IF(Abschreibung[[#This Row],[Abschrei-bungs-zeitraum '[a']]]="∞",0.017,(Parameter!$J$121*(1+Parameter!$J$121)^Abschreibung[[#This Row],[Rechenwert '[a']]])/((1+Parameter!$J$121)^Abschreibung[[#This Row],[Rechenwert '[a']]]-1))</f>
        <v>1.7000000000000001E-2</v>
      </c>
      <c r="K124" s="211"/>
      <c r="L124" s="211"/>
      <c r="M124" s="211"/>
      <c r="N124" s="211"/>
      <c r="O124" s="128"/>
      <c r="P124" s="533"/>
      <c r="Q124" s="186"/>
      <c r="R124" s="137"/>
      <c r="S124" s="137"/>
      <c r="T124" s="186"/>
      <c r="U124" s="128"/>
      <c r="Z124" s="212"/>
    </row>
    <row r="125" spans="1:26" x14ac:dyDescent="0.3">
      <c r="A125" s="183" t="s">
        <v>80</v>
      </c>
      <c r="B125" s="138">
        <f>IF(A125="X",COUNTIF($A$1:A125,"X"),"")</f>
        <v>61</v>
      </c>
      <c r="C125" s="539"/>
      <c r="D125" s="128"/>
      <c r="E125" s="553"/>
      <c r="F125" s="550"/>
      <c r="G125" s="221" t="s">
        <v>67</v>
      </c>
      <c r="H125" s="260" t="s">
        <v>264</v>
      </c>
      <c r="I125" s="143">
        <f>IF(Abschreibung[[#This Row],[Abschrei-bungs-zeitraum '[a']]]="∞",MAX(Abschreibung[Abschrei-bungs-zeitraum '[a']]),Abschreibung[[#This Row],[Abschrei-bungs-zeitraum '[a']]])</f>
        <v>80</v>
      </c>
      <c r="J125" s="261">
        <f>IF(Abschreibung[[#This Row],[Abschrei-bungs-zeitraum '[a']]]="∞",0.017,(Parameter!$J$121*(1+Parameter!$J$121)^Abschreibung[[#This Row],[Rechenwert '[a']]])/((1+Parameter!$J$121)^Abschreibung[[#This Row],[Rechenwert '[a']]]-1))</f>
        <v>1.7000000000000001E-2</v>
      </c>
      <c r="K125" s="211"/>
      <c r="L125" s="211"/>
      <c r="M125" s="211"/>
      <c r="N125" s="211"/>
      <c r="O125" s="128"/>
      <c r="P125" s="533"/>
      <c r="Q125" s="186"/>
      <c r="R125" s="137"/>
      <c r="S125" s="137"/>
      <c r="T125" s="186"/>
      <c r="U125" s="128"/>
      <c r="Z125" s="212"/>
    </row>
    <row r="126" spans="1:26" x14ac:dyDescent="0.3">
      <c r="A126" s="183" t="s">
        <v>80</v>
      </c>
      <c r="B126" s="138">
        <f>IF(A126="X",COUNTIF($A$1:A126,"X"),"")</f>
        <v>62</v>
      </c>
      <c r="C126" s="539"/>
      <c r="D126" s="128"/>
      <c r="E126" s="553"/>
      <c r="F126" s="550"/>
      <c r="G126" s="221" t="s">
        <v>68</v>
      </c>
      <c r="H126" s="260">
        <v>80</v>
      </c>
      <c r="I126" s="143">
        <f>IF(Abschreibung[[#This Row],[Abschrei-bungs-zeitraum '[a']]]="∞",MAX(Abschreibung[Abschrei-bungs-zeitraum '[a']]),Abschreibung[[#This Row],[Abschrei-bungs-zeitraum '[a']]])</f>
        <v>80</v>
      </c>
      <c r="J126" s="261">
        <f>IF(Abschreibung[[#This Row],[Abschrei-bungs-zeitraum '[a']]]="∞",0.017,(Parameter!$J$121*(1+Parameter!$J$121)^Abschreibung[[#This Row],[Rechenwert '[a']]])/((1+Parameter!$J$121)^Abschreibung[[#This Row],[Rechenwert '[a']]]-1))</f>
        <v>2.2960915519101819E-2</v>
      </c>
      <c r="K126" s="211"/>
      <c r="L126" s="211"/>
      <c r="M126" s="211"/>
      <c r="N126" s="211"/>
      <c r="O126" s="128"/>
      <c r="P126" s="533"/>
      <c r="Q126" s="186"/>
      <c r="R126" s="137"/>
      <c r="S126" s="137"/>
      <c r="T126" s="186"/>
      <c r="U126" s="128"/>
      <c r="Z126" s="212"/>
    </row>
    <row r="127" spans="1:26" x14ac:dyDescent="0.3">
      <c r="A127" s="183" t="s">
        <v>80</v>
      </c>
      <c r="B127" s="138">
        <f>IF(A127="X",COUNTIF($A$1:A127,"X"),"")</f>
        <v>63</v>
      </c>
      <c r="C127" s="539"/>
      <c r="D127" s="128"/>
      <c r="E127" s="553"/>
      <c r="F127" s="550"/>
      <c r="G127" s="221" t="s">
        <v>69</v>
      </c>
      <c r="H127" s="260">
        <v>25</v>
      </c>
      <c r="I127" s="143">
        <f>IF(Abschreibung[[#This Row],[Abschrei-bungs-zeitraum '[a']]]="∞",MAX(Abschreibung[Abschrei-bungs-zeitraum '[a']]),Abschreibung[[#This Row],[Abschrei-bungs-zeitraum '[a']]])</f>
        <v>25</v>
      </c>
      <c r="J127" s="261">
        <f>IF(Abschreibung[[#This Row],[Abschrei-bungs-zeitraum '[a']]]="∞",0.017,(Parameter!$J$121*(1+Parameter!$J$121)^Abschreibung[[#This Row],[Rechenwert '[a']]])/((1+Parameter!$J$121)^Abschreibung[[#This Row],[Rechenwert '[a']]]-1))</f>
        <v>4.9434307901095403E-2</v>
      </c>
      <c r="K127" s="211"/>
      <c r="L127" s="211"/>
      <c r="M127" s="211"/>
      <c r="N127" s="211"/>
      <c r="O127" s="128"/>
      <c r="P127" s="533"/>
      <c r="Q127" s="186"/>
      <c r="R127" s="137"/>
      <c r="S127" s="137"/>
      <c r="T127" s="186"/>
      <c r="U127" s="128"/>
      <c r="Z127" s="212"/>
    </row>
    <row r="128" spans="1:26" x14ac:dyDescent="0.3">
      <c r="A128" s="183" t="s">
        <v>80</v>
      </c>
      <c r="B128" s="138">
        <f>IF(A128="X",COUNTIF($A$1:A128,"X"),"")</f>
        <v>64</v>
      </c>
      <c r="C128" s="539"/>
      <c r="D128" s="128"/>
      <c r="E128" s="553"/>
      <c r="F128" s="550"/>
      <c r="G128" s="221" t="s">
        <v>70</v>
      </c>
      <c r="H128" s="260">
        <v>50</v>
      </c>
      <c r="I128" s="143">
        <f>IF(Abschreibung[[#This Row],[Abschrei-bungs-zeitraum '[a']]]="∞",MAX(Abschreibung[Abschrei-bungs-zeitraum '[a']]),Abschreibung[[#This Row],[Abschrei-bungs-zeitraum '[a']]])</f>
        <v>50</v>
      </c>
      <c r="J128" s="261">
        <f>IF(Abschreibung[[#This Row],[Abschrei-bungs-zeitraum '[a']]]="∞",0.017,(Parameter!$J$121*(1+Parameter!$J$121)^Abschreibung[[#This Row],[Rechenwert '[a']]])/((1+Parameter!$J$121)^Abschreibung[[#This Row],[Rechenwert '[a']]]-1))</f>
        <v>2.9849665512421051E-2</v>
      </c>
      <c r="K128" s="211"/>
      <c r="L128" s="211"/>
      <c r="M128" s="211"/>
      <c r="N128" s="211"/>
      <c r="O128" s="128"/>
      <c r="P128" s="533"/>
      <c r="Q128" s="186"/>
      <c r="R128" s="137"/>
      <c r="S128" s="137"/>
      <c r="T128" s="186"/>
      <c r="U128" s="128"/>
      <c r="Z128" s="212"/>
    </row>
    <row r="129" spans="1:26" x14ac:dyDescent="0.3">
      <c r="A129" s="183" t="s">
        <v>80</v>
      </c>
      <c r="B129" s="138">
        <f>IF(A129="X",COUNTIF($A$1:A129,"X"),"")</f>
        <v>65</v>
      </c>
      <c r="C129" s="539"/>
      <c r="D129" s="128"/>
      <c r="E129" s="553"/>
      <c r="F129" s="550"/>
      <c r="G129" s="221" t="s">
        <v>71</v>
      </c>
      <c r="H129" s="260">
        <v>80</v>
      </c>
      <c r="I129" s="143">
        <f>IF(Abschreibung[[#This Row],[Abschrei-bungs-zeitraum '[a']]]="∞",MAX(Abschreibung[Abschrei-bungs-zeitraum '[a']]),Abschreibung[[#This Row],[Abschrei-bungs-zeitraum '[a']]])</f>
        <v>80</v>
      </c>
      <c r="J129" s="261">
        <f>IF(Abschreibung[[#This Row],[Abschrei-bungs-zeitraum '[a']]]="∞",0.017,(Parameter!$J$121*(1+Parameter!$J$121)^Abschreibung[[#This Row],[Rechenwert '[a']]])/((1+Parameter!$J$121)^Abschreibung[[#This Row],[Rechenwert '[a']]]-1))</f>
        <v>2.2960915519101819E-2</v>
      </c>
      <c r="K129" s="211"/>
      <c r="L129" s="211"/>
      <c r="M129" s="211"/>
      <c r="N129" s="211"/>
      <c r="O129" s="128"/>
      <c r="P129" s="533"/>
      <c r="Q129" s="186"/>
      <c r="R129" s="137"/>
      <c r="S129" s="137"/>
      <c r="T129" s="186"/>
      <c r="U129" s="128"/>
      <c r="Z129" s="212"/>
    </row>
    <row r="130" spans="1:26" x14ac:dyDescent="0.3">
      <c r="A130" s="183" t="s">
        <v>80</v>
      </c>
      <c r="B130" s="138">
        <f>IF(A130="X",COUNTIF($A$1:A130,"X"),"")</f>
        <v>66</v>
      </c>
      <c r="C130" s="539"/>
      <c r="D130" s="128"/>
      <c r="E130" s="553"/>
      <c r="F130" s="550"/>
      <c r="G130" s="221" t="s">
        <v>72</v>
      </c>
      <c r="H130" s="260">
        <v>15</v>
      </c>
      <c r="I130" s="143">
        <f>IF(Abschreibung[[#This Row],[Abschrei-bungs-zeitraum '[a']]]="∞",MAX(Abschreibung[Abschrei-bungs-zeitraum '[a']]),Abschreibung[[#This Row],[Abschrei-bungs-zeitraum '[a']]])</f>
        <v>15</v>
      </c>
      <c r="J130" s="261">
        <f>IF(Abschreibung[[#This Row],[Abschrei-bungs-zeitraum '[a']]]="∞",0.017,(Parameter!$J$121*(1+Parameter!$J$121)^Abschreibung[[#This Row],[Rechenwert '[a']]])/((1+Parameter!$J$121)^Abschreibung[[#This Row],[Rechenwert '[a']]]-1))</f>
        <v>7.6089573881859884E-2</v>
      </c>
      <c r="K130" s="211"/>
      <c r="L130" s="211"/>
      <c r="M130" s="211"/>
      <c r="N130" s="211"/>
      <c r="O130" s="128"/>
      <c r="P130" s="533"/>
      <c r="Q130" s="186"/>
      <c r="R130" s="137"/>
      <c r="S130" s="137"/>
      <c r="T130" s="186"/>
      <c r="U130" s="128"/>
      <c r="Z130" s="212"/>
    </row>
    <row r="131" spans="1:26" x14ac:dyDescent="0.3">
      <c r="A131" s="183" t="s">
        <v>80</v>
      </c>
      <c r="B131" s="138">
        <f>IF(A131="X",COUNTIF($A$1:A131,"X"),"")</f>
        <v>67</v>
      </c>
      <c r="C131" s="540"/>
      <c r="D131" s="128"/>
      <c r="E131" s="553"/>
      <c r="F131" s="551"/>
      <c r="G131" s="262" t="s">
        <v>73</v>
      </c>
      <c r="H131" s="263">
        <v>20</v>
      </c>
      <c r="I131" s="264">
        <f>IF(Abschreibung[[#This Row],[Abschrei-bungs-zeitraum '[a']]]="∞",MAX(Abschreibung[Abschrei-bungs-zeitraum '[a']]),Abschreibung[[#This Row],[Abschrei-bungs-zeitraum '[a']]])</f>
        <v>20</v>
      </c>
      <c r="J131" s="265">
        <f>IF(Abschreibung[[#This Row],[Abschrei-bungs-zeitraum '[a']]]="∞",0.017,(Parameter!$J$121*(1+Parameter!$J$121)^Abschreibung[[#This Row],[Rechenwert '[a']]])/((1+Parameter!$J$121)^Abschreibung[[#This Row],[Rechenwert '[a']]]-1))</f>
        <v>5.940052191072772E-2</v>
      </c>
      <c r="K131" s="211"/>
      <c r="L131" s="211"/>
      <c r="M131" s="211"/>
      <c r="N131" s="211"/>
      <c r="O131" s="128"/>
      <c r="P131" s="534"/>
      <c r="Q131" s="186"/>
      <c r="R131" s="137"/>
      <c r="S131" s="137"/>
      <c r="T131" s="186"/>
      <c r="U131" s="128"/>
      <c r="Z131" s="212"/>
    </row>
    <row r="132" spans="1:26" x14ac:dyDescent="0.3">
      <c r="A132" s="183"/>
      <c r="B132" s="138"/>
      <c r="C132" s="266"/>
      <c r="D132" s="128"/>
      <c r="E132" s="128"/>
      <c r="F132" s="128"/>
      <c r="G132" s="128"/>
      <c r="H132" s="211"/>
      <c r="I132" s="211"/>
      <c r="J132" s="211"/>
      <c r="K132" s="211"/>
      <c r="L132" s="211"/>
      <c r="M132" s="211"/>
      <c r="N132" s="211"/>
      <c r="O132" s="128"/>
      <c r="P132" s="185"/>
      <c r="Q132" s="186"/>
      <c r="T132" s="186"/>
      <c r="U132" s="128"/>
      <c r="Z132" s="212"/>
    </row>
    <row r="133" spans="1:26" x14ac:dyDescent="0.3">
      <c r="A133" s="183"/>
      <c r="B133" s="138"/>
      <c r="C133" s="128"/>
      <c r="E133" s="132" t="s">
        <v>408</v>
      </c>
      <c r="F133" s="128"/>
      <c r="G133" s="128"/>
      <c r="H133" s="128"/>
      <c r="I133" s="128"/>
      <c r="J133" s="128"/>
      <c r="K133" s="128"/>
      <c r="L133" s="128"/>
      <c r="M133" s="128"/>
      <c r="N133" s="128"/>
      <c r="O133" s="128"/>
      <c r="P133" s="185"/>
      <c r="Q133" s="186"/>
      <c r="T133" s="186"/>
      <c r="U133" s="128"/>
    </row>
    <row r="134" spans="1:26" x14ac:dyDescent="0.3">
      <c r="A134" s="183"/>
      <c r="B134" s="138"/>
      <c r="C134" s="128"/>
      <c r="E134" s="1" t="s">
        <v>7</v>
      </c>
      <c r="F134" s="1" t="s">
        <v>8</v>
      </c>
      <c r="G134" s="1" t="s">
        <v>33</v>
      </c>
      <c r="H134" s="128"/>
      <c r="I134" s="128"/>
      <c r="J134" s="128"/>
      <c r="K134" s="128"/>
      <c r="L134" s="128"/>
      <c r="M134" s="128"/>
      <c r="N134" s="128"/>
      <c r="T134" s="186"/>
      <c r="U134" s="128"/>
    </row>
    <row r="135" spans="1:26" x14ac:dyDescent="0.3">
      <c r="A135" s="183"/>
      <c r="B135" s="138"/>
      <c r="C135" s="128"/>
      <c r="E135" s="1" t="s">
        <v>1</v>
      </c>
      <c r="F135" s="267" t="s">
        <v>9</v>
      </c>
      <c r="G135" s="1" t="s">
        <v>25</v>
      </c>
      <c r="H135" s="128"/>
      <c r="I135" s="128"/>
      <c r="J135" s="128"/>
      <c r="K135" s="128"/>
      <c r="L135" s="128"/>
      <c r="M135" s="128"/>
      <c r="N135" s="128"/>
      <c r="T135" s="186"/>
      <c r="U135" s="128"/>
    </row>
    <row r="136" spans="1:26" ht="50.4" x14ac:dyDescent="0.3">
      <c r="A136" s="183"/>
      <c r="B136" s="138"/>
      <c r="C136" s="128"/>
      <c r="E136" s="1" t="s">
        <v>200</v>
      </c>
      <c r="F136" s="267" t="s">
        <v>201</v>
      </c>
      <c r="G136" s="1" t="s">
        <v>25</v>
      </c>
      <c r="H136" s="128"/>
      <c r="I136" s="128"/>
      <c r="J136" s="128"/>
      <c r="K136" s="128"/>
      <c r="L136" s="128"/>
      <c r="M136" s="128"/>
      <c r="N136" s="128"/>
      <c r="T136" s="186"/>
      <c r="U136" s="128"/>
    </row>
    <row r="137" spans="1:26" x14ac:dyDescent="0.3">
      <c r="A137" s="183"/>
      <c r="B137" s="138"/>
      <c r="C137" s="128"/>
      <c r="E137" s="1" t="s">
        <v>2</v>
      </c>
      <c r="F137" s="267" t="s">
        <v>10</v>
      </c>
      <c r="G137" s="1" t="s">
        <v>26</v>
      </c>
      <c r="H137" s="128"/>
      <c r="I137" s="128"/>
      <c r="J137" s="128"/>
      <c r="K137" s="128"/>
      <c r="L137" s="128"/>
      <c r="M137" s="128"/>
      <c r="N137" s="128"/>
      <c r="T137" s="186"/>
      <c r="U137" s="128"/>
    </row>
    <row r="138" spans="1:26" x14ac:dyDescent="0.3">
      <c r="E138" s="1" t="s">
        <v>3</v>
      </c>
      <c r="F138" s="267" t="s">
        <v>11</v>
      </c>
      <c r="G138" s="1" t="s">
        <v>26</v>
      </c>
    </row>
    <row r="139" spans="1:26" ht="33.6" x14ac:dyDescent="0.3">
      <c r="E139" s="1" t="s">
        <v>4</v>
      </c>
      <c r="F139" s="267" t="s">
        <v>12</v>
      </c>
      <c r="G139" s="1" t="s">
        <v>25</v>
      </c>
    </row>
    <row r="140" spans="1:26" x14ac:dyDescent="0.3">
      <c r="E140" s="1" t="s">
        <v>5</v>
      </c>
      <c r="F140" s="267" t="s">
        <v>13</v>
      </c>
      <c r="G140" s="1" t="s">
        <v>25</v>
      </c>
    </row>
    <row r="141" spans="1:26" ht="33.6" x14ac:dyDescent="0.3">
      <c r="E141" s="1" t="s">
        <v>6</v>
      </c>
      <c r="F141" s="267" t="s">
        <v>14</v>
      </c>
      <c r="G141" s="1" t="s">
        <v>25</v>
      </c>
    </row>
    <row r="142" spans="1:26" ht="50.4" x14ac:dyDescent="0.3">
      <c r="E142" s="1" t="s">
        <v>271</v>
      </c>
      <c r="F142" s="267" t="s">
        <v>272</v>
      </c>
      <c r="G142" s="1" t="s">
        <v>25</v>
      </c>
    </row>
    <row r="144" spans="1:26" x14ac:dyDescent="0.3">
      <c r="E144" s="1" t="s">
        <v>445</v>
      </c>
    </row>
    <row r="145" spans="5:5" x14ac:dyDescent="0.3">
      <c r="E145" s="1">
        <v>1</v>
      </c>
    </row>
    <row r="146" spans="5:5" x14ac:dyDescent="0.3">
      <c r="E146" s="1">
        <v>0.25</v>
      </c>
    </row>
    <row r="147" spans="5:5" x14ac:dyDescent="0.3">
      <c r="E147" s="1">
        <v>0.5</v>
      </c>
    </row>
    <row r="148" spans="5:5" x14ac:dyDescent="0.3">
      <c r="E148" s="1">
        <v>0.75</v>
      </c>
    </row>
    <row r="149" spans="5:5" x14ac:dyDescent="0.3">
      <c r="E149" s="1">
        <v>0.8</v>
      </c>
    </row>
    <row r="150" spans="5:5" x14ac:dyDescent="0.3">
      <c r="E150" s="1">
        <v>0.85</v>
      </c>
    </row>
    <row r="151" spans="5:5" x14ac:dyDescent="0.3">
      <c r="E151" s="1">
        <v>0.9</v>
      </c>
    </row>
    <row r="152" spans="5:5" x14ac:dyDescent="0.3">
      <c r="E152" s="1">
        <v>0.95</v>
      </c>
    </row>
    <row r="153" spans="5:5" x14ac:dyDescent="0.3">
      <c r="E153" s="1">
        <v>0</v>
      </c>
    </row>
    <row r="154" spans="5:5" x14ac:dyDescent="0.3">
      <c r="E154" s="1">
        <v>1.05</v>
      </c>
    </row>
    <row r="155" spans="5:5" x14ac:dyDescent="0.3">
      <c r="E155" s="1">
        <v>1.1000000000000001</v>
      </c>
    </row>
    <row r="156" spans="5:5" x14ac:dyDescent="0.3">
      <c r="E156" s="1">
        <v>1.1499999999999999</v>
      </c>
    </row>
    <row r="157" spans="5:5" x14ac:dyDescent="0.3">
      <c r="E157" s="1">
        <v>1.2</v>
      </c>
    </row>
    <row r="158" spans="5:5" x14ac:dyDescent="0.3">
      <c r="E158" s="1">
        <v>1.25</v>
      </c>
    </row>
    <row r="159" spans="5:5" x14ac:dyDescent="0.3">
      <c r="E159" s="1">
        <v>1.5</v>
      </c>
    </row>
    <row r="160" spans="5:5" x14ac:dyDescent="0.3">
      <c r="E160" s="1">
        <v>1.75</v>
      </c>
    </row>
    <row r="161" spans="5:5" x14ac:dyDescent="0.3">
      <c r="E161" s="1">
        <v>2</v>
      </c>
    </row>
  </sheetData>
  <sheetProtection algorithmName="SHA-512" hashValue="1lMAWcRRy3RGA0zFTdvUDO7G0QUFlM0+YOB1IqIwomeKGV1ws6mS0pnqrZbd1pyI7QI9rhSt5SbBN8/xdFWqRg==" saltValue="U3PSUefRqg/ydzqiBwTp1g==" spinCount="100000" sheet="1" selectLockedCells="1" selectUnlockedCells="1"/>
  <mergeCells count="98">
    <mergeCell ref="R3:S3"/>
    <mergeCell ref="F111:I111"/>
    <mergeCell ref="F110:I110"/>
    <mergeCell ref="F119:I119"/>
    <mergeCell ref="F118:I118"/>
    <mergeCell ref="F117:I117"/>
    <mergeCell ref="F116:I116"/>
    <mergeCell ref="F115:I115"/>
    <mergeCell ref="F114:I114"/>
    <mergeCell ref="F104:I104"/>
    <mergeCell ref="F103:I103"/>
    <mergeCell ref="F102:I102"/>
    <mergeCell ref="F101:I101"/>
    <mergeCell ref="F109:I109"/>
    <mergeCell ref="F108:I108"/>
    <mergeCell ref="F107:I107"/>
    <mergeCell ref="C13:C65"/>
    <mergeCell ref="F61:I61"/>
    <mergeCell ref="F62:I62"/>
    <mergeCell ref="F46:I46"/>
    <mergeCell ref="E20:E27"/>
    <mergeCell ref="F49:I49"/>
    <mergeCell ref="F50:I50"/>
    <mergeCell ref="F17:I17"/>
    <mergeCell ref="F18:I18"/>
    <mergeCell ref="F53:I53"/>
    <mergeCell ref="F56:I56"/>
    <mergeCell ref="F16:I16"/>
    <mergeCell ref="F58:I58"/>
    <mergeCell ref="F59:I59"/>
    <mergeCell ref="F29:I29"/>
    <mergeCell ref="F31:I31"/>
    <mergeCell ref="F30:I30"/>
    <mergeCell ref="E29:E53"/>
    <mergeCell ref="I3:J3"/>
    <mergeCell ref="F38:I38"/>
    <mergeCell ref="F39:I39"/>
    <mergeCell ref="F41:I41"/>
    <mergeCell ref="F42:I42"/>
    <mergeCell ref="F43:I43"/>
    <mergeCell ref="F44:I44"/>
    <mergeCell ref="F9:I9"/>
    <mergeCell ref="C5:C11"/>
    <mergeCell ref="E13:E14"/>
    <mergeCell ref="F11:I11"/>
    <mergeCell ref="F5:I5"/>
    <mergeCell ref="E101:E119"/>
    <mergeCell ref="F55:I55"/>
    <mergeCell ref="F47:I47"/>
    <mergeCell ref="F52:I52"/>
    <mergeCell ref="F33:I33"/>
    <mergeCell ref="F34:I34"/>
    <mergeCell ref="F36:I36"/>
    <mergeCell ref="F35:I35"/>
    <mergeCell ref="F106:I106"/>
    <mergeCell ref="F105:I105"/>
    <mergeCell ref="E16:E18"/>
    <mergeCell ref="H80:K80"/>
    <mergeCell ref="R4:S4"/>
    <mergeCell ref="E7:E11"/>
    <mergeCell ref="F10:I10"/>
    <mergeCell ref="F7:I7"/>
    <mergeCell ref="F8:I8"/>
    <mergeCell ref="F71:I72"/>
    <mergeCell ref="E55:E65"/>
    <mergeCell ref="F64:I64"/>
    <mergeCell ref="E80:E99"/>
    <mergeCell ref="F65:I65"/>
    <mergeCell ref="F83:F86"/>
    <mergeCell ref="H81:I81"/>
    <mergeCell ref="F88:J88"/>
    <mergeCell ref="F91:J91"/>
    <mergeCell ref="F95:J95"/>
    <mergeCell ref="F92:I92"/>
    <mergeCell ref="C67:C131"/>
    <mergeCell ref="E71:E78"/>
    <mergeCell ref="F99:I99"/>
    <mergeCell ref="F69:I69"/>
    <mergeCell ref="F67:I67"/>
    <mergeCell ref="F98:J98"/>
    <mergeCell ref="F89:I89"/>
    <mergeCell ref="F93:I93"/>
    <mergeCell ref="F96:I96"/>
    <mergeCell ref="J81:K81"/>
    <mergeCell ref="F113:I113"/>
    <mergeCell ref="F112:I112"/>
    <mergeCell ref="J71:L71"/>
    <mergeCell ref="F121:I121"/>
    <mergeCell ref="F122:F131"/>
    <mergeCell ref="E121:E131"/>
    <mergeCell ref="P83:P86"/>
    <mergeCell ref="P123:P131"/>
    <mergeCell ref="L3:N3"/>
    <mergeCell ref="P16:P17"/>
    <mergeCell ref="P20:P27"/>
    <mergeCell ref="P29:P65"/>
    <mergeCell ref="P71:P77"/>
    <mergeCell ref="M71:N71"/>
  </mergeCells>
  <pageMargins left="0.7" right="0.7" top="0.78740157499999996" bottom="0.78740157499999996" header="0.3" footer="0.3"/>
  <pageSetup paperSize="9" orientation="portrait" r:id="rId1"/>
  <drawing r:id="rId2"/>
  <legacyDrawing r:id="rId3"/>
  <tableParts count="4">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theme="5"/>
    <pageSetUpPr fitToPage="1"/>
  </sheetPr>
  <dimension ref="A1:X37"/>
  <sheetViews>
    <sheetView showGridLines="0" zoomScaleNormal="100" workbookViewId="0">
      <pane xSplit="2" ySplit="6" topLeftCell="C7" activePane="bottomRight" state="frozen"/>
      <selection activeCell="C10" sqref="C10"/>
      <selection pane="topRight" activeCell="C10" sqref="C10"/>
      <selection pane="bottomLeft" activeCell="C10" sqref="C10"/>
      <selection pane="bottomRight" activeCell="C10" sqref="C10"/>
    </sheetView>
  </sheetViews>
  <sheetFormatPr baseColWidth="10" defaultColWidth="15.88671875" defaultRowHeight="16.8" x14ac:dyDescent="0.3"/>
  <cols>
    <col min="1" max="1" width="58.109375" style="1" customWidth="1"/>
    <col min="2" max="2" width="16.6640625" style="3" bestFit="1" customWidth="1"/>
    <col min="3" max="3" width="12.33203125" style="1" customWidth="1"/>
    <col min="4" max="6" width="15.88671875" style="1"/>
    <col min="7" max="9" width="0" style="1" hidden="1" customWidth="1"/>
    <col min="10" max="23" width="15.88671875" style="1"/>
    <col min="24" max="24" width="15.88671875" style="409"/>
    <col min="25" max="16384" width="15.88671875" style="1"/>
  </cols>
  <sheetData>
    <row r="1" spans="1:24" ht="27" x14ac:dyDescent="0.3">
      <c r="A1" s="15" t="s">
        <v>355</v>
      </c>
      <c r="B1" s="166"/>
      <c r="C1" s="166"/>
      <c r="D1" s="166"/>
      <c r="E1" s="60"/>
      <c r="F1" s="60"/>
      <c r="G1" s="168"/>
      <c r="H1" s="168"/>
      <c r="I1" s="166"/>
      <c r="J1" s="166"/>
      <c r="K1" s="60"/>
    </row>
    <row r="2" spans="1:24" ht="18.600000000000001" x14ac:dyDescent="0.4">
      <c r="A2" s="408" t="s">
        <v>141</v>
      </c>
      <c r="B2" s="137"/>
      <c r="C2" s="128"/>
      <c r="D2" s="128"/>
      <c r="F2" s="128" t="s">
        <v>448</v>
      </c>
      <c r="G2" s="527"/>
      <c r="H2" s="527"/>
      <c r="I2" s="128"/>
      <c r="J2" s="128"/>
    </row>
    <row r="3" spans="1:24" x14ac:dyDescent="0.3">
      <c r="A3" s="128"/>
      <c r="B3" s="137"/>
      <c r="C3" s="128"/>
      <c r="D3" s="128"/>
      <c r="E3" s="128"/>
      <c r="F3" s="128"/>
      <c r="G3" s="128"/>
      <c r="H3" s="128"/>
      <c r="I3" s="128"/>
      <c r="J3" s="128"/>
    </row>
    <row r="4" spans="1:24" s="267" customFormat="1" ht="31.2" x14ac:dyDescent="0.3">
      <c r="A4" s="185"/>
      <c r="B4" s="410" t="s">
        <v>95</v>
      </c>
      <c r="C4" s="411" t="s">
        <v>175</v>
      </c>
      <c r="D4" s="412" t="str">
        <f>IF(Standortkonzept!G26="X",Standortkonzept!G29,"")</f>
        <v>Konventioneller Ausbau</v>
      </c>
      <c r="E4" s="412" t="str">
        <f>IF(Standortkonzept!H26="X",Standortkonzept!H29,"")</f>
        <v>Kolonnenparken</v>
      </c>
      <c r="F4" s="411" t="str">
        <f>IF(Standortkonzept!I26="X",Standortkonzept!I29,"")</f>
        <v>Kompaktparken</v>
      </c>
      <c r="G4" s="413" t="str">
        <f>IF(Standortkonzept!J26="X",Standortkonzept!J29,"")</f>
        <v/>
      </c>
      <c r="H4" s="414" t="str">
        <f>IF(Standortkonzept!K26="X",Standortkonzept!K29,"")</f>
        <v/>
      </c>
      <c r="I4" s="414" t="str">
        <f>IF(Standortkonzept!L26="X",Standortkonzept!L29,"")</f>
        <v/>
      </c>
      <c r="J4" s="185"/>
      <c r="X4" s="415"/>
    </row>
    <row r="5" spans="1:24" s="267" customFormat="1" x14ac:dyDescent="0.3">
      <c r="A5" s="185"/>
      <c r="B5" s="416" t="s">
        <v>177</v>
      </c>
      <c r="C5" s="417" t="s">
        <v>174</v>
      </c>
      <c r="D5" s="418">
        <f>IF(Standortkonzept!G26="X",Standortkonzept!G31,"")</f>
        <v>0</v>
      </c>
      <c r="E5" s="418">
        <f>IF(Standortkonzept!H26="X",Standortkonzept!H31,"")</f>
        <v>0</v>
      </c>
      <c r="F5" s="417">
        <f>IF(Standortkonzept!I26="X",Standortkonzept!I31,"")</f>
        <v>0</v>
      </c>
      <c r="G5" s="418" t="str">
        <f>IF(Standortkonzept!J26="X",Standortkonzept!J31,"")</f>
        <v/>
      </c>
      <c r="H5" s="418" t="str">
        <f>IF(Standortkonzept!K26="X",Standortkonzept!K31,"")</f>
        <v/>
      </c>
      <c r="I5" s="418" t="str">
        <f>IF(Standortkonzept!L26="X",Standortkonzept!L31,"")</f>
        <v/>
      </c>
      <c r="J5" s="185"/>
      <c r="X5" s="415"/>
    </row>
    <row r="6" spans="1:24" x14ac:dyDescent="0.3">
      <c r="A6" s="128"/>
      <c r="B6" s="419" t="s">
        <v>98</v>
      </c>
      <c r="C6" s="138" t="s">
        <v>99</v>
      </c>
      <c r="D6" s="138" t="s">
        <v>143</v>
      </c>
      <c r="E6" s="138" t="s">
        <v>143</v>
      </c>
      <c r="F6" s="138" t="s">
        <v>143</v>
      </c>
      <c r="G6" s="138" t="s">
        <v>143</v>
      </c>
      <c r="H6" s="138" t="s">
        <v>143</v>
      </c>
      <c r="I6" s="138" t="s">
        <v>143</v>
      </c>
      <c r="J6" s="128"/>
      <c r="U6" s="10"/>
    </row>
    <row r="7" spans="1:24" x14ac:dyDescent="0.3">
      <c r="A7" s="572" t="s">
        <v>142</v>
      </c>
      <c r="B7" s="572"/>
      <c r="C7" s="137"/>
      <c r="D7" s="137"/>
      <c r="E7" s="137"/>
      <c r="F7" s="137"/>
      <c r="G7" s="137"/>
      <c r="H7" s="137"/>
      <c r="I7" s="137"/>
      <c r="J7" s="128"/>
    </row>
    <row r="8" spans="1:24" ht="33.6" x14ac:dyDescent="0.3">
      <c r="A8" s="195" t="s">
        <v>284</v>
      </c>
      <c r="B8" s="144" t="s">
        <v>179</v>
      </c>
      <c r="C8" s="420" t="e">
        <f>C9+C12</f>
        <v>#VALUE!</v>
      </c>
      <c r="D8" s="421"/>
      <c r="E8" s="422"/>
      <c r="F8" s="423"/>
      <c r="G8" s="424"/>
      <c r="H8" s="424"/>
      <c r="I8" s="192"/>
      <c r="J8" s="128"/>
      <c r="U8" s="10"/>
    </row>
    <row r="9" spans="1:24" x14ac:dyDescent="0.3">
      <c r="A9" s="143" t="s">
        <v>178</v>
      </c>
      <c r="B9" s="144" t="s">
        <v>179</v>
      </c>
      <c r="C9" s="420" t="str">
        <f>Standortkonzept!G14</f>
        <v xml:space="preserve"> </v>
      </c>
      <c r="D9" s="420" t="e">
        <f>Standortkonzept!G34+$C$9</f>
        <v>#VALUE!</v>
      </c>
      <c r="E9" s="420" t="e">
        <f>Standortkonzept!H34+$C$9</f>
        <v>#VALUE!</v>
      </c>
      <c r="F9" s="420" t="e">
        <f>Standortkonzept!I34+$C$9</f>
        <v>#VALUE!</v>
      </c>
      <c r="G9" s="420" t="e">
        <f>Standortkonzept!J34+$C$9</f>
        <v>#VALUE!</v>
      </c>
      <c r="H9" s="420" t="e">
        <f>Standortkonzept!K34+$C$9</f>
        <v>#VALUE!</v>
      </c>
      <c r="I9" s="420" t="e">
        <f>Standortkonzept!L34+$C$9</f>
        <v>#VALUE!</v>
      </c>
      <c r="J9" s="128"/>
      <c r="U9" s="10"/>
    </row>
    <row r="10" spans="1:24" x14ac:dyDescent="0.3">
      <c r="A10" s="128"/>
      <c r="B10" s="137"/>
      <c r="C10" s="128"/>
      <c r="D10" s="137"/>
      <c r="E10" s="137"/>
      <c r="F10" s="137"/>
      <c r="G10" s="137"/>
      <c r="H10" s="137"/>
      <c r="I10" s="137"/>
      <c r="J10" s="128"/>
    </row>
    <row r="11" spans="1:24" x14ac:dyDescent="0.3">
      <c r="A11" s="572" t="s">
        <v>273</v>
      </c>
      <c r="B11" s="572"/>
      <c r="C11" s="137"/>
      <c r="D11" s="138"/>
      <c r="E11" s="137"/>
      <c r="F11" s="137"/>
      <c r="G11" s="137"/>
      <c r="H11" s="137"/>
      <c r="I11" s="137"/>
      <c r="J11" s="128"/>
    </row>
    <row r="12" spans="1:24" ht="33.6" x14ac:dyDescent="0.3">
      <c r="A12" s="195" t="s">
        <v>281</v>
      </c>
      <c r="B12" s="144" t="s">
        <v>179</v>
      </c>
      <c r="C12" s="420" t="str">
        <f>Standortkonzept!G15</f>
        <v/>
      </c>
      <c r="D12" s="420" t="e">
        <f>$C$8-D9</f>
        <v>#VALUE!</v>
      </c>
      <c r="E12" s="420" t="e">
        <f t="shared" ref="E12:I12" si="0">$C$8-E9</f>
        <v>#VALUE!</v>
      </c>
      <c r="F12" s="420" t="e">
        <f t="shared" si="0"/>
        <v>#VALUE!</v>
      </c>
      <c r="G12" s="420" t="e">
        <f t="shared" si="0"/>
        <v>#VALUE!</v>
      </c>
      <c r="H12" s="420" t="e">
        <f t="shared" si="0"/>
        <v>#VALUE!</v>
      </c>
      <c r="I12" s="420" t="e">
        <f t="shared" si="0"/>
        <v>#VALUE!</v>
      </c>
      <c r="J12" s="128"/>
      <c r="U12" s="10"/>
    </row>
    <row r="13" spans="1:24" ht="33.6" x14ac:dyDescent="0.3">
      <c r="A13" s="195" t="s">
        <v>282</v>
      </c>
      <c r="B13" s="144" t="s">
        <v>179</v>
      </c>
      <c r="C13" s="425" t="s">
        <v>173</v>
      </c>
      <c r="D13" s="420" t="e">
        <f>D9-$C$9</f>
        <v>#VALUE!</v>
      </c>
      <c r="E13" s="420" t="e">
        <f t="shared" ref="E13:I13" si="1">E9-$C$9</f>
        <v>#VALUE!</v>
      </c>
      <c r="F13" s="420" t="e">
        <f t="shared" si="1"/>
        <v>#VALUE!</v>
      </c>
      <c r="G13" s="420" t="e">
        <f t="shared" si="1"/>
        <v>#VALUE!</v>
      </c>
      <c r="H13" s="420" t="e">
        <f t="shared" si="1"/>
        <v>#VALUE!</v>
      </c>
      <c r="I13" s="420" t="e">
        <f t="shared" si="1"/>
        <v>#VALUE!</v>
      </c>
      <c r="J13" s="128"/>
    </row>
    <row r="14" spans="1:24" x14ac:dyDescent="0.3">
      <c r="A14" s="143" t="s">
        <v>144</v>
      </c>
      <c r="B14" s="144" t="s">
        <v>172</v>
      </c>
      <c r="C14" s="426" t="e">
        <f>IF(C9=0,0,$C$8/C9)</f>
        <v>#VALUE!</v>
      </c>
      <c r="D14" s="426" t="e">
        <f t="shared" ref="D14:I14" si="2">IF(D9=0,0,$C$8/D9)</f>
        <v>#VALUE!</v>
      </c>
      <c r="E14" s="426" t="e">
        <f t="shared" si="2"/>
        <v>#VALUE!</v>
      </c>
      <c r="F14" s="426" t="e">
        <f t="shared" si="2"/>
        <v>#VALUE!</v>
      </c>
      <c r="G14" s="426" t="e">
        <f t="shared" si="2"/>
        <v>#VALUE!</v>
      </c>
      <c r="H14" s="426" t="e">
        <f t="shared" si="2"/>
        <v>#VALUE!</v>
      </c>
      <c r="I14" s="426" t="e">
        <f t="shared" si="2"/>
        <v>#VALUE!</v>
      </c>
      <c r="J14" s="128"/>
      <c r="U14" s="10"/>
    </row>
    <row r="15" spans="1:24" x14ac:dyDescent="0.3">
      <c r="A15" s="143" t="s">
        <v>145</v>
      </c>
      <c r="B15" s="144" t="s">
        <v>172</v>
      </c>
      <c r="C15" s="426" t="e">
        <f>IF(C14&lt;0.8,0,IF(C14&gt;2,Parameter!$J$102,(C14-0.8)*Parameter!$J$102/(2-0.8)))</f>
        <v>#VALUE!</v>
      </c>
      <c r="D15" s="426" t="e">
        <f>IF(D14&lt;0.8,0,IF(D14&gt;2,Parameter!$J$102,(D14-0.8)*Parameter!$J$102/(2-0.8)))</f>
        <v>#VALUE!</v>
      </c>
      <c r="E15" s="426" t="e">
        <f>IF(E14&lt;0.8,0,IF(E14&gt;2,Parameter!$J$102,(E14-0.8)*Parameter!$J$102/(2-0.8)))</f>
        <v>#VALUE!</v>
      </c>
      <c r="F15" s="426" t="e">
        <f>IF(F14&lt;0.8,0,IF(F14&gt;2,Parameter!$J$102,(F14-0.8)*Parameter!$J$102/(2-0.8)))</f>
        <v>#VALUE!</v>
      </c>
      <c r="G15" s="426" t="e">
        <f>IF(G14&lt;0.8,0,IF(G14&gt;2,Parameter!$J$102,(G14-0.8)*Parameter!$J$102/(2-0.8)))</f>
        <v>#VALUE!</v>
      </c>
      <c r="H15" s="426" t="e">
        <f>IF(H14&lt;0.8,0,IF(H14&gt;2,Parameter!$J$102,(H14-0.8)*Parameter!$J$102/(2-0.8)))</f>
        <v>#VALUE!</v>
      </c>
      <c r="I15" s="426" t="e">
        <f>IF(I14&lt;0.8,0,IF(I14&gt;2,Parameter!$J$102,(I14-0.8)*Parameter!$J$102/(2-0.8)))</f>
        <v>#VALUE!</v>
      </c>
      <c r="J15" s="427"/>
      <c r="K15" s="428"/>
      <c r="L15" s="428"/>
      <c r="M15" s="428"/>
      <c r="N15" s="428"/>
      <c r="O15" s="428"/>
      <c r="P15" s="428"/>
      <c r="Q15" s="428"/>
      <c r="R15" s="428"/>
      <c r="S15" s="428"/>
      <c r="T15" s="428"/>
      <c r="W15" s="10"/>
    </row>
    <row r="16" spans="1:24" x14ac:dyDescent="0.3">
      <c r="A16" s="128"/>
      <c r="B16" s="137"/>
      <c r="C16" s="128"/>
      <c r="D16" s="429"/>
      <c r="E16" s="137"/>
      <c r="F16" s="430"/>
      <c r="G16" s="430"/>
      <c r="H16" s="430"/>
      <c r="I16" s="430"/>
      <c r="J16" s="427"/>
      <c r="K16" s="428"/>
      <c r="L16" s="428"/>
      <c r="M16" s="428"/>
      <c r="N16" s="428"/>
      <c r="O16" s="428"/>
      <c r="P16" s="428"/>
      <c r="Q16" s="428"/>
      <c r="R16" s="428"/>
      <c r="S16" s="428"/>
      <c r="T16" s="428"/>
      <c r="W16" s="10"/>
    </row>
    <row r="17" spans="1:23" x14ac:dyDescent="0.3">
      <c r="A17" s="572" t="s">
        <v>176</v>
      </c>
      <c r="B17" s="572"/>
      <c r="C17" s="128"/>
      <c r="D17" s="429"/>
      <c r="E17" s="137"/>
      <c r="F17" s="430"/>
      <c r="G17" s="430"/>
      <c r="H17" s="430"/>
      <c r="I17" s="430"/>
      <c r="J17" s="427"/>
      <c r="K17" s="428"/>
      <c r="L17" s="428"/>
      <c r="M17" s="428"/>
      <c r="N17" s="428"/>
      <c r="O17" s="428"/>
      <c r="P17" s="428"/>
      <c r="Q17" s="428"/>
      <c r="R17" s="428"/>
      <c r="S17" s="428"/>
      <c r="T17" s="428"/>
      <c r="W17" s="10"/>
    </row>
    <row r="18" spans="1:23" x14ac:dyDescent="0.3">
      <c r="A18" s="143"/>
      <c r="B18" s="144" t="s">
        <v>146</v>
      </c>
      <c r="C18" s="420" t="e">
        <f>IF($C$8-C9&gt;0,Parameter!$J$101*C15*302*(C8-C9),Parameter!$J$101*C15*302*10)</f>
        <v>#VALUE!</v>
      </c>
      <c r="D18" s="420" t="e">
        <f>IF($C$8-D9&gt;0,Parameter!$J$101*D15*302*($C$8-D9),Parameter!$J$101*D15*302*10)</f>
        <v>#VALUE!</v>
      </c>
      <c r="E18" s="420" t="e">
        <f>IF($C$8-E9&gt;0,Parameter!$J$101*E15*302*($C$8-E9),Parameter!$J$101*E15*302*10)</f>
        <v>#VALUE!</v>
      </c>
      <c r="F18" s="420" t="e">
        <f>IF($C$8-F9&gt;0,Parameter!$J$101*F15*302*($C$8-F9),Parameter!$J$101*F15*302*10)</f>
        <v>#VALUE!</v>
      </c>
      <c r="G18" s="420" t="e">
        <f>IF($C$8-G9&gt;0,Parameter!$J$101*G15*302*($C$8-G9),Parameter!$J$101*G15*302*10)</f>
        <v>#VALUE!</v>
      </c>
      <c r="H18" s="420" t="e">
        <f>IF($C$8-H9&gt;0,Parameter!$J$101*H15*302*($C$8-H9),Parameter!$J$101*H15*302*10)</f>
        <v>#VALUE!</v>
      </c>
      <c r="I18" s="420" t="e">
        <f>IF($C$8-I9&gt;0,Parameter!$J$101*I15*302*($C$8-I9),Parameter!$J$101*I15*302*10)</f>
        <v>#VALUE!</v>
      </c>
      <c r="J18" s="128"/>
    </row>
    <row r="19" spans="1:23" x14ac:dyDescent="0.3">
      <c r="A19" s="143"/>
      <c r="B19" s="431" t="s">
        <v>102</v>
      </c>
      <c r="C19" s="425" t="s">
        <v>173</v>
      </c>
      <c r="D19" s="420" t="e">
        <f>$C$18-D18</f>
        <v>#VALUE!</v>
      </c>
      <c r="E19" s="420" t="e">
        <f t="shared" ref="E19:H19" si="3">$C$18-E18</f>
        <v>#VALUE!</v>
      </c>
      <c r="F19" s="420" t="e">
        <f t="shared" si="3"/>
        <v>#VALUE!</v>
      </c>
      <c r="G19" s="420" t="e">
        <f t="shared" si="3"/>
        <v>#VALUE!</v>
      </c>
      <c r="H19" s="420" t="e">
        <f t="shared" si="3"/>
        <v>#VALUE!</v>
      </c>
      <c r="I19" s="420" t="e">
        <f>$C$18-I18</f>
        <v>#VALUE!</v>
      </c>
      <c r="J19" s="128"/>
      <c r="W19" s="432"/>
    </row>
    <row r="20" spans="1:23" x14ac:dyDescent="0.3">
      <c r="A20" s="128"/>
      <c r="B20" s="137"/>
      <c r="C20" s="137"/>
      <c r="D20" s="137"/>
      <c r="E20" s="137"/>
      <c r="F20" s="137"/>
      <c r="G20" s="137"/>
      <c r="H20" s="137"/>
      <c r="I20" s="137"/>
      <c r="J20" s="128"/>
      <c r="W20" s="432"/>
    </row>
    <row r="21" spans="1:23" x14ac:dyDescent="0.3">
      <c r="A21" s="572" t="s">
        <v>147</v>
      </c>
      <c r="B21" s="572"/>
      <c r="C21" s="137"/>
      <c r="D21" s="137"/>
      <c r="E21" s="137"/>
      <c r="F21" s="137"/>
      <c r="G21" s="137"/>
      <c r="H21" s="137"/>
      <c r="I21" s="137"/>
      <c r="J21" s="128"/>
      <c r="W21" s="432"/>
    </row>
    <row r="22" spans="1:23" x14ac:dyDescent="0.3">
      <c r="A22" s="143" t="s">
        <v>148</v>
      </c>
      <c r="B22" s="144" t="s">
        <v>171</v>
      </c>
      <c r="C22" s="420" t="e">
        <f>Parameter!$J$103*($C$8-C9)*C15</f>
        <v>#VALUE!</v>
      </c>
      <c r="D22" s="420" t="e">
        <f>Parameter!$J$103*($C$8-D9)*D15</f>
        <v>#VALUE!</v>
      </c>
      <c r="E22" s="420" t="e">
        <f>Parameter!$J$103*($C$8-E9)*E15</f>
        <v>#VALUE!</v>
      </c>
      <c r="F22" s="420" t="e">
        <f>Parameter!$J$103*($C$8-F9)*F15</f>
        <v>#VALUE!</v>
      </c>
      <c r="G22" s="420" t="e">
        <f>Parameter!$J$103*($C$8-G9)*G15</f>
        <v>#VALUE!</v>
      </c>
      <c r="H22" s="420" t="e">
        <f>Parameter!$J$103*($C$8-H9)*H15</f>
        <v>#VALUE!</v>
      </c>
      <c r="I22" s="420" t="e">
        <f>Parameter!$J$103*($C$8-I9)*I15</f>
        <v>#VALUE!</v>
      </c>
      <c r="J22" s="128"/>
    </row>
    <row r="23" spans="1:23" x14ac:dyDescent="0.3">
      <c r="A23" s="143" t="s">
        <v>148</v>
      </c>
      <c r="B23" s="144" t="s">
        <v>149</v>
      </c>
      <c r="C23" s="420" t="e">
        <f>C22/60*302</f>
        <v>#VALUE!</v>
      </c>
      <c r="D23" s="420" t="e">
        <f>D22/60*302</f>
        <v>#VALUE!</v>
      </c>
      <c r="E23" s="420" t="e">
        <f t="shared" ref="E23:I23" si="4">E22/60*302</f>
        <v>#VALUE!</v>
      </c>
      <c r="F23" s="420" t="e">
        <f t="shared" si="4"/>
        <v>#VALUE!</v>
      </c>
      <c r="G23" s="420" t="e">
        <f t="shared" si="4"/>
        <v>#VALUE!</v>
      </c>
      <c r="H23" s="420" t="e">
        <f t="shared" si="4"/>
        <v>#VALUE!</v>
      </c>
      <c r="I23" s="420" t="e">
        <f t="shared" si="4"/>
        <v>#VALUE!</v>
      </c>
      <c r="J23" s="128"/>
      <c r="V23" s="10"/>
      <c r="W23" s="10"/>
    </row>
    <row r="24" spans="1:23" x14ac:dyDescent="0.3">
      <c r="A24" s="143" t="s">
        <v>150</v>
      </c>
      <c r="B24" s="144" t="s">
        <v>102</v>
      </c>
      <c r="C24" s="420" t="e">
        <f>C23*Parameter!$J$104</f>
        <v>#VALUE!</v>
      </c>
      <c r="D24" s="420" t="e">
        <f>D23*Parameter!$J$104</f>
        <v>#VALUE!</v>
      </c>
      <c r="E24" s="420" t="e">
        <f>E23*Parameter!$J$104</f>
        <v>#VALUE!</v>
      </c>
      <c r="F24" s="420" t="e">
        <f>F23*Parameter!$J$104</f>
        <v>#VALUE!</v>
      </c>
      <c r="G24" s="420" t="e">
        <f>G23*Parameter!$J$104</f>
        <v>#VALUE!</v>
      </c>
      <c r="H24" s="420" t="e">
        <f>H23*Parameter!$J$104</f>
        <v>#VALUE!</v>
      </c>
      <c r="I24" s="420" t="e">
        <f>I23*Parameter!$J$104</f>
        <v>#VALUE!</v>
      </c>
      <c r="J24" s="128"/>
    </row>
    <row r="25" spans="1:23" x14ac:dyDescent="0.3">
      <c r="A25" s="143" t="s">
        <v>151</v>
      </c>
      <c r="B25" s="144" t="s">
        <v>102</v>
      </c>
      <c r="C25" s="420" t="e">
        <f>C18*Parameter!$J$105*0.01</f>
        <v>#VALUE!</v>
      </c>
      <c r="D25" s="420" t="e">
        <f>D18*Parameter!$J$105*0.01</f>
        <v>#VALUE!</v>
      </c>
      <c r="E25" s="420" t="e">
        <f>E18*Parameter!$J$105*0.01</f>
        <v>#VALUE!</v>
      </c>
      <c r="F25" s="420" t="e">
        <f>F18*Parameter!$J$105*0.01</f>
        <v>#VALUE!</v>
      </c>
      <c r="G25" s="420" t="e">
        <f>G18*Parameter!$J$105*0.01</f>
        <v>#VALUE!</v>
      </c>
      <c r="H25" s="420" t="e">
        <f>H18*Parameter!$J$105*0.01</f>
        <v>#VALUE!</v>
      </c>
      <c r="I25" s="420" t="e">
        <f>I18*Parameter!$J$105*0.01</f>
        <v>#VALUE!</v>
      </c>
      <c r="J25" s="128"/>
    </row>
    <row r="26" spans="1:23" x14ac:dyDescent="0.3">
      <c r="A26" s="143" t="s">
        <v>152</v>
      </c>
      <c r="B26" s="144" t="s">
        <v>102</v>
      </c>
      <c r="C26" s="420" t="e">
        <f>C18*Parameter!$J$106*Parameter!$J$108*1000*Parameter!$J$107</f>
        <v>#VALUE!</v>
      </c>
      <c r="D26" s="420" t="e">
        <f>D18*Parameter!$J$106*Parameter!$J$108*1000*Parameter!$J$107</f>
        <v>#VALUE!</v>
      </c>
      <c r="E26" s="420" t="e">
        <f>E18*Parameter!$J$106*Parameter!$J$108*1000*Parameter!$J$107</f>
        <v>#VALUE!</v>
      </c>
      <c r="F26" s="420" t="e">
        <f>F18*Parameter!$J$106*Parameter!$J$108*1000*Parameter!$J$107</f>
        <v>#VALUE!</v>
      </c>
      <c r="G26" s="420" t="e">
        <f>G18*Parameter!$J$106*Parameter!$J$108*1000*Parameter!$J$107</f>
        <v>#VALUE!</v>
      </c>
      <c r="H26" s="420" t="e">
        <f>H18*Parameter!$J$106*Parameter!$J$108*1000*Parameter!$J$107</f>
        <v>#VALUE!</v>
      </c>
      <c r="I26" s="420" t="e">
        <f>I18*Parameter!$J$106*Parameter!$J$108*1000*Parameter!$J$107</f>
        <v>#VALUE!</v>
      </c>
      <c r="J26" s="128"/>
    </row>
    <row r="27" spans="1:23" x14ac:dyDescent="0.3">
      <c r="A27" s="143" t="s">
        <v>153</v>
      </c>
      <c r="B27" s="144" t="s">
        <v>102</v>
      </c>
      <c r="C27" s="420" t="e">
        <f>(C$18*(10^-6)*Parameter!$J$112)*Parameter!$J$109+(C$18*(10^-6)*Parameter!$J$114)*Parameter!$J$110+Parameter!$J$111*((10^-6)*Parameter!$J$115*C$18)</f>
        <v>#VALUE!</v>
      </c>
      <c r="D27" s="420" t="e">
        <f>(D$18*(10^-6)*Parameter!$J$112)*Parameter!$J$109+(D$18*(10^-6)*Parameter!$J$114)*Parameter!$J$110+Parameter!$J$111*((10^-6)*Parameter!$J$115*D$18)</f>
        <v>#VALUE!</v>
      </c>
      <c r="E27" s="420" t="e">
        <f>(E$18*(10^-6)*Parameter!$J$112)*Parameter!$J$109+(E$18*(10^-6)*Parameter!$J$114)*Parameter!$J$110+Parameter!$J$111*((10^-6)*Parameter!$J$115*E$18)</f>
        <v>#VALUE!</v>
      </c>
      <c r="F27" s="420" t="e">
        <f>(F$18*(10^-6)*Parameter!$J$112)*Parameter!$J$109+(F$18*(10^-6)*Parameter!$J$114)*Parameter!$J$110+Parameter!$J$111*((10^-6)*Parameter!$J$115*F$18)</f>
        <v>#VALUE!</v>
      </c>
      <c r="G27" s="420" t="e">
        <f>(G$18*(10^-6)*Parameter!$J$112)*Parameter!$J$109+(G$18*(10^-6)*Parameter!$J$114)*Parameter!$J$110+Parameter!$J$111*((10^-6)*Parameter!$J$115*G$18)</f>
        <v>#VALUE!</v>
      </c>
      <c r="H27" s="420" t="e">
        <f>(H$18*(10^-6)*Parameter!$J$112)*Parameter!$J$109+(H$18*(10^-6)*Parameter!$J$114)*Parameter!$J$110+Parameter!$J$111*((10^-6)*Parameter!$J$115*H$18)</f>
        <v>#VALUE!</v>
      </c>
      <c r="I27" s="420" t="e">
        <f>(I$18*(10^-6)*Parameter!$J$112)*Parameter!$J$109+(I$18*(10^-6)*Parameter!$J$114)*Parameter!$J$110+Parameter!$J$111*((10^-6)*Parameter!$J$115*I$18)</f>
        <v>#VALUE!</v>
      </c>
      <c r="J27" s="128"/>
    </row>
    <row r="28" spans="1:23" ht="17.399999999999999" thickBot="1" x14ac:dyDescent="0.35">
      <c r="A28" s="433" t="s">
        <v>154</v>
      </c>
      <c r="B28" s="434" t="s">
        <v>102</v>
      </c>
      <c r="C28" s="435" t="e">
        <f>C18*(10^-6)*Parameter!$J$118*Parameter!$J$119</f>
        <v>#VALUE!</v>
      </c>
      <c r="D28" s="435" t="e">
        <f>D18*(10^-6)*Parameter!$J$118*Parameter!$J$119</f>
        <v>#VALUE!</v>
      </c>
      <c r="E28" s="435" t="e">
        <f>E18*(10^-6)*Parameter!$J$118*Parameter!$J$119</f>
        <v>#VALUE!</v>
      </c>
      <c r="F28" s="435" t="e">
        <f>F18*(10^-6)*Parameter!$J$118*Parameter!$J$119</f>
        <v>#VALUE!</v>
      </c>
      <c r="G28" s="435" t="e">
        <f>G18*(10^-6)*Parameter!$J$118*Parameter!$J$119</f>
        <v>#VALUE!</v>
      </c>
      <c r="H28" s="435" t="e">
        <f>H18*(10^-6)*Parameter!$J$118*Parameter!$J$119</f>
        <v>#VALUE!</v>
      </c>
      <c r="I28" s="435" t="e">
        <f>I18*(10^-6)*Parameter!$J$118*Parameter!$J$119</f>
        <v>#VALUE!</v>
      </c>
      <c r="J28" s="128"/>
    </row>
    <row r="29" spans="1:23" ht="17.399999999999999" thickTop="1" x14ac:dyDescent="0.3">
      <c r="A29" s="436" t="s">
        <v>78</v>
      </c>
      <c r="B29" s="437" t="s">
        <v>102</v>
      </c>
      <c r="C29" s="438" t="e">
        <f>SUM(C24:C28)</f>
        <v>#VALUE!</v>
      </c>
      <c r="D29" s="438" t="e">
        <f>SUM(D24:D28)</f>
        <v>#VALUE!</v>
      </c>
      <c r="E29" s="438" t="e">
        <f t="shared" ref="E29:I29" si="5">SUM(E24:E28)</f>
        <v>#VALUE!</v>
      </c>
      <c r="F29" s="438" t="e">
        <f t="shared" si="5"/>
        <v>#VALUE!</v>
      </c>
      <c r="G29" s="438" t="e">
        <f t="shared" si="5"/>
        <v>#VALUE!</v>
      </c>
      <c r="H29" s="438" t="e">
        <f t="shared" si="5"/>
        <v>#VALUE!</v>
      </c>
      <c r="I29" s="438" t="e">
        <f t="shared" si="5"/>
        <v>#VALUE!</v>
      </c>
      <c r="J29" s="128"/>
    </row>
    <row r="30" spans="1:23" x14ac:dyDescent="0.3">
      <c r="A30" s="143" t="s">
        <v>155</v>
      </c>
      <c r="B30" s="144" t="s">
        <v>102</v>
      </c>
      <c r="C30" s="425" t="s">
        <v>173</v>
      </c>
      <c r="D30" s="439" t="e">
        <f>$C$29-D29</f>
        <v>#VALUE!</v>
      </c>
      <c r="E30" s="439" t="e">
        <f t="shared" ref="E30:I30" si="6">$C$29-E29</f>
        <v>#VALUE!</v>
      </c>
      <c r="F30" s="439" t="e">
        <f t="shared" si="6"/>
        <v>#VALUE!</v>
      </c>
      <c r="G30" s="439" t="e">
        <f t="shared" si="6"/>
        <v>#VALUE!</v>
      </c>
      <c r="H30" s="439" t="e">
        <f t="shared" si="6"/>
        <v>#VALUE!</v>
      </c>
      <c r="I30" s="439" t="e">
        <f t="shared" si="6"/>
        <v>#VALUE!</v>
      </c>
      <c r="J30" s="128"/>
    </row>
    <row r="31" spans="1:23" x14ac:dyDescent="0.3">
      <c r="A31" s="440" t="s">
        <v>156</v>
      </c>
      <c r="B31" s="144" t="s">
        <v>102</v>
      </c>
      <c r="C31" s="425" t="s">
        <v>173</v>
      </c>
      <c r="D31" s="439" t="str">
        <f>IFERROR(D30/D13,"")</f>
        <v/>
      </c>
      <c r="E31" s="439" t="str">
        <f t="shared" ref="E31:I31" si="7">IFERROR(E30/E13,"")</f>
        <v/>
      </c>
      <c r="F31" s="439" t="str">
        <f t="shared" si="7"/>
        <v/>
      </c>
      <c r="G31" s="439" t="str">
        <f t="shared" si="7"/>
        <v/>
      </c>
      <c r="H31" s="439" t="str">
        <f t="shared" si="7"/>
        <v/>
      </c>
      <c r="I31" s="439" t="str">
        <f t="shared" si="7"/>
        <v/>
      </c>
      <c r="J31" s="128"/>
    </row>
    <row r="32" spans="1:23" x14ac:dyDescent="0.3">
      <c r="A32" s="128"/>
      <c r="B32" s="137"/>
      <c r="C32" s="128"/>
      <c r="D32" s="149"/>
      <c r="E32" s="128"/>
      <c r="F32" s="128"/>
      <c r="G32" s="128"/>
      <c r="H32" s="128"/>
      <c r="I32" s="128"/>
      <c r="J32" s="128"/>
    </row>
    <row r="33" spans="1:10" x14ac:dyDescent="0.3">
      <c r="A33" s="128"/>
      <c r="B33" s="137"/>
      <c r="C33" s="128"/>
      <c r="D33" s="149"/>
      <c r="E33" s="128"/>
      <c r="F33" s="128"/>
      <c r="G33" s="128"/>
      <c r="H33" s="128"/>
      <c r="I33" s="128"/>
      <c r="J33" s="128"/>
    </row>
    <row r="34" spans="1:10" x14ac:dyDescent="0.3">
      <c r="D34" s="441"/>
    </row>
    <row r="35" spans="1:10" x14ac:dyDescent="0.3">
      <c r="D35" s="441"/>
    </row>
    <row r="36" spans="1:10" x14ac:dyDescent="0.3">
      <c r="D36" s="441"/>
    </row>
    <row r="37" spans="1:10" x14ac:dyDescent="0.3">
      <c r="D37" s="441"/>
    </row>
  </sheetData>
  <sheetProtection algorithmName="SHA-512" hashValue="JngvT7zaz6bIwxU1tEmw3yUra3MA27X8aSh/f/zEkNC5Dx71jEGX/R/5g68EWpMy0KHXiW+bo+738Y8t+IzR9Q==" saltValue="O15+k6P9dv0uXIyL9tMQLA==" spinCount="100000" sheet="1" selectLockedCells="1"/>
  <mergeCells count="5">
    <mergeCell ref="G2:H2"/>
    <mergeCell ref="A21:B21"/>
    <mergeCell ref="A7:B7"/>
    <mergeCell ref="A11:B11"/>
    <mergeCell ref="A17:B17"/>
  </mergeCells>
  <conditionalFormatting sqref="D4:D5">
    <cfRule type="expression" dxfId="21" priority="17">
      <formula>$D$4=""</formula>
    </cfRule>
  </conditionalFormatting>
  <conditionalFormatting sqref="E5">
    <cfRule type="expression" dxfId="20" priority="11">
      <formula>$E$4=""</formula>
    </cfRule>
  </conditionalFormatting>
  <conditionalFormatting sqref="F5">
    <cfRule type="expression" dxfId="19" priority="15">
      <formula>$F$4=""</formula>
    </cfRule>
  </conditionalFormatting>
  <conditionalFormatting sqref="G5">
    <cfRule type="expression" dxfId="18" priority="14">
      <formula>$G$4=""</formula>
    </cfRule>
  </conditionalFormatting>
  <conditionalFormatting sqref="H5">
    <cfRule type="expression" dxfId="17" priority="13">
      <formula>$H$4=""</formula>
    </cfRule>
  </conditionalFormatting>
  <conditionalFormatting sqref="I5">
    <cfRule type="expression" dxfId="16" priority="12">
      <formula>$I$4=""</formula>
    </cfRule>
  </conditionalFormatting>
  <conditionalFormatting sqref="E5:E31">
    <cfRule type="expression" dxfId="15" priority="9">
      <formula>$E$5=""</formula>
    </cfRule>
  </conditionalFormatting>
  <conditionalFormatting sqref="F5:F31">
    <cfRule type="expression" dxfId="14" priority="8">
      <formula>$F$5=""</formula>
    </cfRule>
  </conditionalFormatting>
  <conditionalFormatting sqref="G5:G31">
    <cfRule type="expression" dxfId="13" priority="7">
      <formula>$G$5=""</formula>
    </cfRule>
  </conditionalFormatting>
  <conditionalFormatting sqref="H5:H31">
    <cfRule type="expression" dxfId="12" priority="6">
      <formula>$H$5=""</formula>
    </cfRule>
  </conditionalFormatting>
  <conditionalFormatting sqref="I5:I31">
    <cfRule type="expression" dxfId="11" priority="5">
      <formula>$I$5=""</formula>
    </cfRule>
  </conditionalFormatting>
  <conditionalFormatting sqref="E4:I4">
    <cfRule type="expression" dxfId="10" priority="1">
      <formula>$D$4=""</formula>
    </cfRule>
  </conditionalFormatting>
  <pageMargins left="0.31496062992125984" right="0.31496062992125984" top="0.39370078740157483" bottom="0.39370078740157483" header="0.31496062992125984" footer="0.31496062992125984"/>
  <pageSetup paperSize="9"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24" operator="containsText" id="{DF641EF3-F761-44AF-8DD3-1677057AA9DF}">
            <xm:f>NOT(ISERROR(SEARCH(D$5,D4)))</xm:f>
            <xm:f>D$5</xm:f>
            <x14:dxf>
              <font>
                <color theme="2"/>
              </font>
            </x14:dxf>
          </x14:cfRule>
          <xm:sqref>D4</xm:sqref>
        </x14:conditionalFormatting>
        <x14:conditionalFormatting xmlns:xm="http://schemas.microsoft.com/office/excel/2006/main">
          <x14:cfRule type="containsText" priority="2" operator="containsText" id="{B1EAA444-7A3A-4BAD-87DD-7E2962A3D964}">
            <xm:f>NOT(ISERROR(SEARCH(E$5,E4)))</xm:f>
            <xm:f>E$5</xm:f>
            <x14:dxf>
              <font>
                <color theme="2"/>
              </font>
            </x14:dxf>
          </x14:cfRule>
          <xm:sqref>E4:I4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8069B-674A-4249-BDAE-3701088192AF}">
  <sheetPr codeName="Tabelle5">
    <tabColor theme="5"/>
  </sheetPr>
  <dimension ref="A1:E94"/>
  <sheetViews>
    <sheetView zoomScale="80" zoomScaleNormal="80" workbookViewId="0">
      <selection activeCell="B14" sqref="B14"/>
    </sheetView>
  </sheetViews>
  <sheetFormatPr baseColWidth="10" defaultColWidth="11.5546875" defaultRowHeight="16.8" x14ac:dyDescent="0.4"/>
  <cols>
    <col min="1" max="1" width="21.44140625" style="4" customWidth="1"/>
    <col min="2" max="2" width="57.33203125" style="4" bestFit="1" customWidth="1"/>
    <col min="3" max="3" width="35.6640625" style="4" customWidth="1"/>
    <col min="4" max="4" width="45.33203125" style="4" customWidth="1"/>
    <col min="5" max="5" width="173.33203125" style="4" bestFit="1" customWidth="1"/>
    <col min="6" max="6" width="12.88671875" style="4" bestFit="1" customWidth="1"/>
    <col min="7" max="7" width="11.5546875" style="4"/>
    <col min="8" max="8" width="12.109375" style="4" bestFit="1" customWidth="1"/>
    <col min="9" max="16384" width="11.5546875" style="4"/>
  </cols>
  <sheetData>
    <row r="1" spans="1:4" ht="27" x14ac:dyDescent="0.4">
      <c r="A1" s="15" t="s">
        <v>355</v>
      </c>
    </row>
    <row r="2" spans="1:4" ht="18.600000000000001" x14ac:dyDescent="0.4">
      <c r="A2" s="442" t="s">
        <v>449</v>
      </c>
      <c r="B2" s="443"/>
      <c r="C2" s="443"/>
      <c r="D2" s="167" t="s">
        <v>448</v>
      </c>
    </row>
    <row r="4" spans="1:4" x14ac:dyDescent="0.4">
      <c r="B4" s="444" t="s">
        <v>390</v>
      </c>
    </row>
    <row r="12" spans="1:4" x14ac:dyDescent="0.4">
      <c r="B12" s="4" t="s">
        <v>368</v>
      </c>
      <c r="D12" s="7" t="s">
        <v>411</v>
      </c>
    </row>
    <row r="13" spans="1:4" x14ac:dyDescent="0.4">
      <c r="D13" s="7" t="s">
        <v>412</v>
      </c>
    </row>
    <row r="15" spans="1:4" x14ac:dyDescent="0.4">
      <c r="B15" s="444" t="s">
        <v>391</v>
      </c>
    </row>
    <row r="45" spans="2:2" x14ac:dyDescent="0.4">
      <c r="B45" s="4" t="s">
        <v>409</v>
      </c>
    </row>
    <row r="48" spans="2:2" ht="18.600000000000001" x14ac:dyDescent="0.4">
      <c r="B48" s="280" t="s">
        <v>423</v>
      </c>
    </row>
    <row r="49" spans="2:4" ht="18.600000000000001" x14ac:dyDescent="0.4">
      <c r="B49" s="280"/>
    </row>
    <row r="50" spans="2:4" ht="19.2" thickBot="1" x14ac:dyDescent="0.45">
      <c r="B50" s="280"/>
    </row>
    <row r="51" spans="2:4" ht="18.600000000000001" thickBot="1" x14ac:dyDescent="0.45">
      <c r="B51" s="445" t="s">
        <v>413</v>
      </c>
      <c r="C51" s="446" t="s">
        <v>112</v>
      </c>
      <c r="D51" s="446" t="s">
        <v>111</v>
      </c>
    </row>
    <row r="52" spans="2:4" ht="18.600000000000001" thickBot="1" x14ac:dyDescent="0.45">
      <c r="B52" s="447" t="s">
        <v>80</v>
      </c>
      <c r="C52" s="448" t="s">
        <v>80</v>
      </c>
      <c r="D52" s="448" t="s">
        <v>80</v>
      </c>
    </row>
    <row r="53" spans="2:4" ht="18.600000000000001" thickBot="1" x14ac:dyDescent="0.45">
      <c r="B53" s="573" t="s">
        <v>414</v>
      </c>
      <c r="C53" s="574"/>
      <c r="D53" s="575"/>
    </row>
    <row r="54" spans="2:4" ht="18.600000000000001" x14ac:dyDescent="0.4">
      <c r="B54" s="280"/>
    </row>
    <row r="55" spans="2:4" ht="18.600000000000001" x14ac:dyDescent="0.4">
      <c r="B55" s="280"/>
    </row>
    <row r="56" spans="2:4" ht="19.2" thickBot="1" x14ac:dyDescent="0.45">
      <c r="B56" s="280"/>
    </row>
    <row r="57" spans="2:4" ht="18.600000000000001" thickBot="1" x14ac:dyDescent="0.45">
      <c r="B57" s="445" t="s">
        <v>413</v>
      </c>
      <c r="C57" s="446" t="s">
        <v>112</v>
      </c>
      <c r="D57" s="446" t="s">
        <v>111</v>
      </c>
    </row>
    <row r="58" spans="2:4" ht="18.600000000000001" thickBot="1" x14ac:dyDescent="0.45">
      <c r="B58" s="447" t="s">
        <v>80</v>
      </c>
      <c r="C58" s="448" t="s">
        <v>415</v>
      </c>
      <c r="D58" s="448" t="s">
        <v>415</v>
      </c>
    </row>
    <row r="59" spans="2:4" ht="17.399999999999999" customHeight="1" x14ac:dyDescent="0.4">
      <c r="B59" s="588" t="s">
        <v>416</v>
      </c>
      <c r="C59" s="589"/>
      <c r="D59" s="590"/>
    </row>
    <row r="60" spans="2:4" ht="17.399999999999999" customHeight="1" x14ac:dyDescent="0.4">
      <c r="B60" s="582" t="s">
        <v>417</v>
      </c>
      <c r="C60" s="583"/>
      <c r="D60" s="584"/>
    </row>
    <row r="61" spans="2:4" ht="18" x14ac:dyDescent="0.4">
      <c r="B61" s="582"/>
      <c r="C61" s="583"/>
      <c r="D61" s="584"/>
    </row>
    <row r="62" spans="2:4" ht="17.399999999999999" thickBot="1" x14ac:dyDescent="0.45">
      <c r="B62" s="591" t="s">
        <v>418</v>
      </c>
      <c r="C62" s="592"/>
      <c r="D62" s="593"/>
    </row>
    <row r="63" spans="2:4" ht="18.600000000000001" x14ac:dyDescent="0.4">
      <c r="B63" s="280"/>
    </row>
    <row r="64" spans="2:4" ht="18.600000000000001" x14ac:dyDescent="0.4">
      <c r="B64" s="280"/>
    </row>
    <row r="65" spans="2:4" ht="19.2" thickBot="1" x14ac:dyDescent="0.45">
      <c r="B65" s="280"/>
    </row>
    <row r="66" spans="2:4" ht="18.600000000000001" thickBot="1" x14ac:dyDescent="0.45">
      <c r="B66" s="445" t="s">
        <v>413</v>
      </c>
      <c r="C66" s="446" t="s">
        <v>112</v>
      </c>
      <c r="D66" s="446" t="s">
        <v>111</v>
      </c>
    </row>
    <row r="67" spans="2:4" ht="18.600000000000001" thickBot="1" x14ac:dyDescent="0.45">
      <c r="B67" s="447" t="s">
        <v>80</v>
      </c>
      <c r="C67" s="448" t="s">
        <v>415</v>
      </c>
      <c r="D67" s="448" t="s">
        <v>419</v>
      </c>
    </row>
    <row r="68" spans="2:4" ht="17.399999999999999" customHeight="1" thickBot="1" x14ac:dyDescent="0.45">
      <c r="B68" s="449"/>
      <c r="C68" s="450"/>
      <c r="D68" s="451"/>
    </row>
    <row r="69" spans="2:4" ht="18" x14ac:dyDescent="0.4">
      <c r="B69" s="588" t="s">
        <v>420</v>
      </c>
      <c r="C69" s="589"/>
      <c r="D69" s="590"/>
    </row>
    <row r="70" spans="2:4" ht="15.6" customHeight="1" x14ac:dyDescent="0.4">
      <c r="B70" s="576"/>
      <c r="C70" s="577"/>
      <c r="D70" s="578"/>
    </row>
    <row r="71" spans="2:4" ht="15.6" customHeight="1" x14ac:dyDescent="0.4">
      <c r="B71" s="579" t="s">
        <v>421</v>
      </c>
      <c r="C71" s="580"/>
      <c r="D71" s="581"/>
    </row>
    <row r="72" spans="2:4" x14ac:dyDescent="0.4">
      <c r="B72" s="579" t="s">
        <v>422</v>
      </c>
      <c r="C72" s="580"/>
      <c r="D72" s="581"/>
    </row>
    <row r="73" spans="2:4" ht="18" x14ac:dyDescent="0.4">
      <c r="B73" s="582"/>
      <c r="C73" s="583"/>
      <c r="D73" s="584"/>
    </row>
    <row r="74" spans="2:4" ht="18.600000000000001" thickBot="1" x14ac:dyDescent="0.45">
      <c r="B74" s="585" t="s">
        <v>498</v>
      </c>
      <c r="C74" s="586"/>
      <c r="D74" s="587"/>
    </row>
    <row r="75" spans="2:4" ht="18.600000000000001" x14ac:dyDescent="0.4">
      <c r="B75" s="280"/>
    </row>
    <row r="76" spans="2:4" ht="18.600000000000001" x14ac:dyDescent="0.4">
      <c r="B76" s="280"/>
    </row>
    <row r="77" spans="2:4" ht="18.600000000000001" x14ac:dyDescent="0.4">
      <c r="B77" s="280" t="s">
        <v>438</v>
      </c>
    </row>
    <row r="78" spans="2:4" ht="19.2" thickBot="1" x14ac:dyDescent="0.45">
      <c r="B78" s="280"/>
    </row>
    <row r="79" spans="2:4" ht="18.600000000000001" thickBot="1" x14ac:dyDescent="0.45">
      <c r="B79" s="445" t="s">
        <v>413</v>
      </c>
      <c r="C79" s="446" t="s">
        <v>112</v>
      </c>
      <c r="D79" s="446" t="s">
        <v>111</v>
      </c>
    </row>
    <row r="80" spans="2:4" ht="18.600000000000001" thickBot="1" x14ac:dyDescent="0.45">
      <c r="B80" s="447" t="s">
        <v>80</v>
      </c>
      <c r="C80" s="448" t="s">
        <v>80</v>
      </c>
      <c r="D80" s="448" t="s">
        <v>415</v>
      </c>
    </row>
    <row r="81" spans="2:5" ht="18.600000000000001" thickBot="1" x14ac:dyDescent="0.45">
      <c r="B81" s="573"/>
      <c r="C81" s="574"/>
      <c r="D81" s="575"/>
    </row>
    <row r="82" spans="2:5" ht="18.600000000000001" x14ac:dyDescent="0.4">
      <c r="B82" s="280"/>
    </row>
    <row r="83" spans="2:5" ht="19.2" thickBot="1" x14ac:dyDescent="0.45">
      <c r="B83" s="280"/>
    </row>
    <row r="84" spans="2:5" ht="18.600000000000001" thickBot="1" x14ac:dyDescent="0.45">
      <c r="B84" s="445" t="s">
        <v>413</v>
      </c>
      <c r="C84" s="446" t="s">
        <v>112</v>
      </c>
      <c r="D84" s="446" t="s">
        <v>111</v>
      </c>
    </row>
    <row r="85" spans="2:5" ht="18.600000000000001" thickBot="1" x14ac:dyDescent="0.45">
      <c r="B85" s="447" t="s">
        <v>80</v>
      </c>
      <c r="C85" s="448" t="s">
        <v>415</v>
      </c>
      <c r="D85" s="448" t="s">
        <v>80</v>
      </c>
    </row>
    <row r="86" spans="2:5" ht="18.600000000000001" thickBot="1" x14ac:dyDescent="0.45">
      <c r="B86" s="573"/>
      <c r="C86" s="574"/>
      <c r="D86" s="575"/>
    </row>
    <row r="87" spans="2:5" ht="18.600000000000001" x14ac:dyDescent="0.4">
      <c r="B87" s="280"/>
    </row>
    <row r="88" spans="2:5" ht="17.399999999999999" thickBot="1" x14ac:dyDescent="0.45"/>
    <row r="89" spans="2:5" ht="18" thickTop="1" thickBot="1" x14ac:dyDescent="0.45">
      <c r="B89" s="452" t="s">
        <v>428</v>
      </c>
      <c r="C89" s="453" t="s">
        <v>430</v>
      </c>
      <c r="D89" s="453" t="s">
        <v>429</v>
      </c>
      <c r="E89" s="454" t="s">
        <v>441</v>
      </c>
    </row>
    <row r="90" spans="2:5" ht="17.399999999999999" thickTop="1" x14ac:dyDescent="0.4">
      <c r="B90" s="455" t="s">
        <v>426</v>
      </c>
      <c r="C90" s="456" t="s">
        <v>427</v>
      </c>
      <c r="D90" s="456" t="s">
        <v>436</v>
      </c>
      <c r="E90" s="457" t="str">
        <f>_xlfn.TEXTJOIN(" | ",TRUE,B90:D90)</f>
        <v>1. Bedingung |  NKV&gt;=1 für jede einzelne Variante | Varianten NKV&lt;1 scheiden aus der Betrachtung aus</v>
      </c>
    </row>
    <row r="91" spans="2:5" x14ac:dyDescent="0.4">
      <c r="B91" s="455" t="s">
        <v>443</v>
      </c>
      <c r="C91" s="456" t="s">
        <v>431</v>
      </c>
      <c r="D91" s="456" t="s">
        <v>435</v>
      </c>
      <c r="E91" s="457" t="str">
        <f t="shared" ref="E91:E94" si="0">_xlfn.TEXTJOIN(" | ",TRUE,B91:D91)</f>
        <v>2. Bedingung | alle varianten nutzengleich | größtes NKV maßgebend</v>
      </c>
    </row>
    <row r="92" spans="2:5" x14ac:dyDescent="0.4">
      <c r="B92" s="455" t="s">
        <v>433</v>
      </c>
      <c r="C92" s="456" t="s">
        <v>432</v>
      </c>
      <c r="D92" s="456"/>
      <c r="E92" s="457" t="str">
        <f t="shared" si="0"/>
        <v>3. Bedingung | Varianten nutzenungleich</v>
      </c>
    </row>
    <row r="93" spans="2:5" ht="84" x14ac:dyDescent="0.4">
      <c r="B93" s="455" t="s">
        <v>439</v>
      </c>
      <c r="C93" s="458" t="s">
        <v>499</v>
      </c>
      <c r="D93" s="458" t="s">
        <v>442</v>
      </c>
      <c r="E93" s="457" t="str">
        <f t="shared" si="0"/>
        <v xml:space="preserve"> 3a. | Kompakt und Kolonne nutzengleich und 
gegenüber Konventionell nutzenungleich
 | Telematik&gt;Konventionell: größtes NKV maßgebend , 
Telematik&lt;Konventionell: größtes Differenz-NKV maßgebend</v>
      </c>
    </row>
    <row r="94" spans="2:5" x14ac:dyDescent="0.4">
      <c r="B94" s="455" t="s">
        <v>440</v>
      </c>
      <c r="C94" s="456" t="s">
        <v>434</v>
      </c>
      <c r="D94" s="456" t="s">
        <v>437</v>
      </c>
      <c r="E94" s="457" t="str">
        <f t="shared" si="0"/>
        <v>3b. | alle Varianten sind nutzenungleich | größtes Differenz-NKV maßgebend</v>
      </c>
    </row>
  </sheetData>
  <sheetProtection algorithmName="SHA-512" hashValue="H7lqWwMCVPOBHsMGeqsHLQ2CxC7doSB6kDl3AzSDkoYJCHREyNrcbSQfzGQTHER6XzWJFk9T1hi2bY5Rk0pjGw==" saltValue="b4V8GdUMg0tLtvyUtSSwYA==" spinCount="100000" sheet="1" objects="1" scenarios="1"/>
  <mergeCells count="13">
    <mergeCell ref="B69:D69"/>
    <mergeCell ref="B53:D53"/>
    <mergeCell ref="B59:D59"/>
    <mergeCell ref="B60:D60"/>
    <mergeCell ref="B61:D61"/>
    <mergeCell ref="B62:D62"/>
    <mergeCell ref="B86:D86"/>
    <mergeCell ref="B70:D70"/>
    <mergeCell ref="B71:D71"/>
    <mergeCell ref="B72:D72"/>
    <mergeCell ref="B73:D73"/>
    <mergeCell ref="B74:D74"/>
    <mergeCell ref="B81:D81"/>
  </mergeCells>
  <pageMargins left="0.7" right="0.7" top="0.78740157499999996" bottom="0.78740157499999996"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BE46D29404F1B41980E27ACA5A6AC65" ma:contentTypeVersion="12" ma:contentTypeDescription="Ein neues Dokument erstellen." ma:contentTypeScope="" ma:versionID="5da2ab5d7f72e3b32e06ba26ba5e1de4">
  <xsd:schema xmlns:xsd="http://www.w3.org/2001/XMLSchema" xmlns:xs="http://www.w3.org/2001/XMLSchema" xmlns:p="http://schemas.microsoft.com/office/2006/metadata/properties" xmlns:ns3="8106f57e-b65a-4061-8b03-25e531b003d9" xmlns:ns4="b7bc841c-ad9a-4d00-a891-67a474f6df58" targetNamespace="http://schemas.microsoft.com/office/2006/metadata/properties" ma:root="true" ma:fieldsID="c8f722f1fe171ebb3f6131ebb517eb4d" ns3:_="" ns4:_="">
    <xsd:import namespace="8106f57e-b65a-4061-8b03-25e531b003d9"/>
    <xsd:import namespace="b7bc841c-ad9a-4d00-a891-67a474f6df5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6f57e-b65a-4061-8b03-25e531b003d9"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SharingHintHash" ma:index="10" nillable="true" ma:displayName="Freigabehinweis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bc841c-ad9a-4d00-a891-67a474f6df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c D A A B Q S w M E F A A C A A g A 6 2 y E W j A F l t a n A A A A 9 w A A A B I A H A B D b 2 5 m a W c v U G F j a 2 F n Z S 5 4 b W w g o h g A K K A U A A A A A A A A A A A A A A A A A A A A A A A A A A A A h Y + x D o I w G I R f h X S n L U i I m J 8 y q J s k J i b G t S k V G q E Y W i z v 5 u A j + Q p i F H V z v L v v k r v 7 9 Q b Z 0 N T e R X Z G t T p F A a b I k 1 q 0 h d J l i n p 7 9 O c o Y 7 D l 4 s R L 6 Y 2 w N o v B q B R V 1 p 4 X h D j n s J v h t i t J S G l A D v l m J y r Z c F 9 p Y 7 k W E n 1 a x f 8 W Y r B / j W E h T m I c J H E U Y Q p k c i F X + k u E 4 + B n + m P C s q 9 t 3 0 l W S H + 1 B j J J I O 8 T 7 A F Q S w M E F A A C A A g A 6 2 y E 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t s h F o o i k e 4 D g A A A B E A A A A T A B w A R m 9 y b X V s Y X M v U 2 V j d G l v b j E u b S C i G A A o o B Q A A A A A A A A A A A A A A A A A A A A A A A A A A A A r T k 0 u y c z P U w i G 0 I b W A F B L A Q I t A B Q A A g A I A O t s h F o w B Z b W p w A A A P c A A A A S A A A A A A A A A A A A A A A A A A A A A A B D b 2 5 m a W c v U G F j a 2 F n Z S 5 4 b W x Q S w E C L Q A U A A I A C A D r b I R a D 8 r p q 6 Q A A A D p A A A A E w A A A A A A A A A A A A A A A A D z A A A A W 0 N v b n R l b n R f V H l w Z X N d L n h t b F B L A Q I t A B Q A A g A I A O t s h F 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B h 1 H v 5 n s E T 5 S C Y r 7 D U n z C A A A A A A I A A A A A A A N m A A D A A A A A E A A A A G V 7 N K q C R U y f S z B Y d E N k j d w A A A A A B I A A A K A A A A A Q A A A A A Q Z h T k j N c U w o j V j R E 6 W l x l A A A A A 4 r b 8 f 9 6 V D h 0 c f A 1 L A B k m r o 1 J t G 9 T X N X b B d M u i g B g X S 4 n 3 k D J C p F o j x 5 x u O 5 8 2 j N Y g l D t N q H Y Z z p S y t z K L 8 l P 5 k Z d G 3 T V M 1 9 w j r k H w 1 R D J X h Q A A A A T 2 K m W D / D k t w c Y r B r 0 E Q b L 5 D B E 4 w = = < / 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EA0247-4F00-4997-A154-28C331E3D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6f57e-b65a-4061-8b03-25e531b003d9"/>
    <ds:schemaRef ds:uri="b7bc841c-ad9a-4d00-a891-67a474f6d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EF8086-445E-4ACA-BB67-23EDD9C89DA4}">
  <ds:schemaRefs>
    <ds:schemaRef ds:uri="http://schemas.microsoft.com/DataMashup"/>
  </ds:schemaRefs>
</ds:datastoreItem>
</file>

<file path=customXml/itemProps3.xml><?xml version="1.0" encoding="utf-8"?>
<ds:datastoreItem xmlns:ds="http://schemas.openxmlformats.org/officeDocument/2006/customXml" ds:itemID="{E780AA46-9647-439F-929C-78CD4230F592}">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7bc841c-ad9a-4d00-a891-67a474f6df58"/>
    <ds:schemaRef ds:uri="http://schemas.microsoft.com/office/2006/metadata/properties"/>
    <ds:schemaRef ds:uri="8106f57e-b65a-4061-8b03-25e531b003d9"/>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D6EE927F-95C8-4C51-825D-DEEFDB2CE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Quickstart</vt:lpstr>
      <vt:lpstr>Informationsbereitstellung</vt:lpstr>
      <vt:lpstr>Projekt-Infos</vt:lpstr>
      <vt:lpstr>Standortkonzept</vt:lpstr>
      <vt:lpstr>Betriebskosten</vt:lpstr>
      <vt:lpstr>Diff_NKV</vt:lpstr>
      <vt:lpstr>Informationsbereitstellung!Druckbereich</vt:lpstr>
      <vt:lpstr>Quickstart!Druckbereich</vt:lpstr>
      <vt:lpstr>'weitere Nutzen RWS'!Druckbereich</vt:lpstr>
      <vt:lpstr>Informationsbereitstellung!Drucktitel</vt:lpstr>
      <vt:lpstr>Kompaktparken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Mayer, Jörg</dc:creator>
  <cp:lastModifiedBy>Mayer Jörg</cp:lastModifiedBy>
  <cp:lastPrinted>2026-05-26T11:20:38Z</cp:lastPrinted>
  <dcterms:created xsi:type="dcterms:W3CDTF">2022-02-16T13:38:35Z</dcterms:created>
  <dcterms:modified xsi:type="dcterms:W3CDTF">2026-06-23T10:32:46Z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0x0101003BE46D29404F1B41980E27ACA5A6AC65</vt:lpwstr>
  </property>
</Properties>
</file>